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0" yWindow="0" windowWidth="16000" windowHeight="10780" tabRatio="599"/>
  </bookViews>
  <sheets>
    <sheet name="Indice" sheetId="14" r:id="rId1"/>
    <sheet name="Total General" sheetId="4" state="hidden" r:id="rId2"/>
    <sheet name="Ind. pilar y provincia" sheetId="3" state="hidden" r:id="rId3"/>
    <sheet name="Variables por pilar" sheetId="12" state="hidden" r:id="rId4"/>
    <sheet name="Base" sheetId="1" state="hidden" r:id="rId5"/>
    <sheet name="Listas" sheetId="5" state="hidden" r:id="rId6"/>
    <sheet name="Gráficos" sheetId="6" r:id="rId7"/>
    <sheet name="Indice por pilar" sheetId="2" r:id="rId8"/>
    <sheet name="Detalle indicadores provincia " sheetId="15" r:id="rId9"/>
    <sheet name="Ubicación relativa " sheetId="8" r:id="rId10"/>
    <sheet name="Por provincia" sheetId="9" r:id="rId11"/>
    <sheet name="Resumen competitividad" sheetId="7" r:id="rId12"/>
    <sheet name="Comparación por provincias" sheetId="11" r:id="rId13"/>
  </sheets>
  <externalReferences>
    <externalReference r:id="rId14"/>
  </externalReferences>
  <definedNames>
    <definedName name="_xlnm._FilterDatabase" localSheetId="4" hidden="1">Base!$A$3:$DR$68</definedName>
  </definedNames>
  <calcPr calcId="140001" concurrentCalc="0"/>
  <pivotCaches>
    <pivotCache cacheId="9" r:id="rId15"/>
    <pivotCache cacheId="10" r:id="rId1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9" l="1"/>
  <c r="A12" i="9"/>
  <c r="AI4" i="1"/>
  <c r="AQ3" i="1"/>
  <c r="AQ58" i="1"/>
  <c r="E62" i="15"/>
  <c r="D62" i="15"/>
  <c r="F62" i="15"/>
  <c r="AQ28" i="1"/>
  <c r="E32" i="15"/>
  <c r="D32" i="15"/>
  <c r="F32" i="15"/>
  <c r="AQ22" i="1"/>
  <c r="E26" i="15"/>
  <c r="D26" i="15"/>
  <c r="F26" i="15"/>
  <c r="AQ21" i="1"/>
  <c r="E25" i="15"/>
  <c r="D25" i="15"/>
  <c r="F25" i="15"/>
  <c r="AQ17" i="1"/>
  <c r="E22" i="15"/>
  <c r="D22" i="15"/>
  <c r="F22" i="15"/>
  <c r="AQ14" i="1"/>
  <c r="E19" i="15"/>
  <c r="D19" i="15"/>
  <c r="F19" i="15"/>
  <c r="AQ8" i="1"/>
  <c r="E12" i="15"/>
  <c r="D12" i="15"/>
  <c r="F12" i="15"/>
  <c r="AQ7" i="1"/>
  <c r="E11" i="15"/>
  <c r="D11" i="15"/>
  <c r="F11" i="15"/>
  <c r="AQ6" i="1"/>
  <c r="E10" i="15"/>
  <c r="D10" i="15"/>
  <c r="F10" i="15"/>
  <c r="D8" i="15"/>
  <c r="AQ4" i="1"/>
  <c r="E8" i="15"/>
  <c r="F8" i="15"/>
  <c r="AQ5" i="1"/>
  <c r="E9" i="15"/>
  <c r="D9" i="15"/>
  <c r="F9" i="15"/>
  <c r="AQ18" i="1"/>
  <c r="E13" i="15"/>
  <c r="D13" i="15"/>
  <c r="F13" i="15"/>
  <c r="AQ9" i="1"/>
  <c r="E14" i="15"/>
  <c r="D14" i="15"/>
  <c r="F14" i="15"/>
  <c r="AQ10" i="1"/>
  <c r="E15" i="15"/>
  <c r="D15" i="15"/>
  <c r="F15" i="15"/>
  <c r="AQ11" i="1"/>
  <c r="E16" i="15"/>
  <c r="D16" i="15"/>
  <c r="F16" i="15"/>
  <c r="AQ12" i="1"/>
  <c r="E17" i="15"/>
  <c r="D17" i="15"/>
  <c r="F17" i="15"/>
  <c r="AQ13" i="1"/>
  <c r="E18" i="15"/>
  <c r="D18" i="15"/>
  <c r="F18" i="15"/>
  <c r="AQ15" i="1"/>
  <c r="E20" i="15"/>
  <c r="D20" i="15"/>
  <c r="F20" i="15"/>
  <c r="AQ16" i="1"/>
  <c r="E21" i="15"/>
  <c r="D21" i="15"/>
  <c r="F21" i="15"/>
  <c r="AQ19" i="1"/>
  <c r="E23" i="15"/>
  <c r="D23" i="15"/>
  <c r="F23" i="15"/>
  <c r="AQ20" i="1"/>
  <c r="E24" i="15"/>
  <c r="D24" i="15"/>
  <c r="F24" i="15"/>
  <c r="AQ23" i="1"/>
  <c r="E27" i="15"/>
  <c r="D27" i="15"/>
  <c r="F27" i="15"/>
  <c r="AQ24" i="1"/>
  <c r="E28" i="15"/>
  <c r="D28" i="15"/>
  <c r="F28" i="15"/>
  <c r="AQ25" i="1"/>
  <c r="E29" i="15"/>
  <c r="D29" i="15"/>
  <c r="F29" i="15"/>
  <c r="AQ26" i="1"/>
  <c r="E30" i="15"/>
  <c r="D30" i="15"/>
  <c r="F30" i="15"/>
  <c r="AQ27" i="1"/>
  <c r="E31" i="15"/>
  <c r="D31" i="15"/>
  <c r="F31" i="15"/>
  <c r="AQ29" i="1"/>
  <c r="E33" i="15"/>
  <c r="D33" i="15"/>
  <c r="F33" i="15"/>
  <c r="AQ30" i="1"/>
  <c r="E34" i="15"/>
  <c r="D34" i="15"/>
  <c r="F34" i="15"/>
  <c r="AQ31" i="1"/>
  <c r="E35" i="15"/>
  <c r="D35" i="15"/>
  <c r="F35" i="15"/>
  <c r="AQ32" i="1"/>
  <c r="E36" i="15"/>
  <c r="D36" i="15"/>
  <c r="F36" i="15"/>
  <c r="AQ33" i="1"/>
  <c r="E37" i="15"/>
  <c r="D37" i="15"/>
  <c r="F37" i="15"/>
  <c r="AQ34" i="1"/>
  <c r="E38" i="15"/>
  <c r="D38" i="15"/>
  <c r="F38" i="15"/>
  <c r="AQ35" i="1"/>
  <c r="E39" i="15"/>
  <c r="D39" i="15"/>
  <c r="F39" i="15"/>
  <c r="AQ36" i="1"/>
  <c r="E40" i="15"/>
  <c r="D40" i="15"/>
  <c r="F40" i="15"/>
  <c r="AQ37" i="1"/>
  <c r="E41" i="15"/>
  <c r="D41" i="15"/>
  <c r="F41" i="15"/>
  <c r="AQ38" i="1"/>
  <c r="E42" i="15"/>
  <c r="D42" i="15"/>
  <c r="F42" i="15"/>
  <c r="AQ39" i="1"/>
  <c r="E43" i="15"/>
  <c r="D43" i="15"/>
  <c r="F43" i="15"/>
  <c r="AQ40" i="1"/>
  <c r="E44" i="15"/>
  <c r="D44" i="15"/>
  <c r="F44" i="15"/>
  <c r="AQ41" i="1"/>
  <c r="E45" i="15"/>
  <c r="D45" i="15"/>
  <c r="F45" i="15"/>
  <c r="AQ42" i="1"/>
  <c r="E46" i="15"/>
  <c r="D46" i="15"/>
  <c r="F46" i="15"/>
  <c r="AQ43" i="1"/>
  <c r="E47" i="15"/>
  <c r="D47" i="15"/>
  <c r="F47" i="15"/>
  <c r="AQ44" i="1"/>
  <c r="E48" i="15"/>
  <c r="D48" i="15"/>
  <c r="F48" i="15"/>
  <c r="AQ45" i="1"/>
  <c r="E49" i="15"/>
  <c r="D49" i="15"/>
  <c r="F49" i="15"/>
  <c r="AQ46" i="1"/>
  <c r="E50" i="15"/>
  <c r="D50" i="15"/>
  <c r="F50" i="15"/>
  <c r="AQ47" i="1"/>
  <c r="E51" i="15"/>
  <c r="D51" i="15"/>
  <c r="F51" i="15"/>
  <c r="AQ48" i="1"/>
  <c r="E52" i="15"/>
  <c r="D52" i="15"/>
  <c r="F52" i="15"/>
  <c r="AQ49" i="1"/>
  <c r="E53" i="15"/>
  <c r="D53" i="15"/>
  <c r="F53" i="15"/>
  <c r="AQ50" i="1"/>
  <c r="E54" i="15"/>
  <c r="D54" i="15"/>
  <c r="F54" i="15"/>
  <c r="AQ51" i="1"/>
  <c r="E55" i="15"/>
  <c r="D55" i="15"/>
  <c r="F55" i="15"/>
  <c r="AQ52" i="1"/>
  <c r="E56" i="15"/>
  <c r="D56" i="15"/>
  <c r="F56" i="15"/>
  <c r="AQ53" i="1"/>
  <c r="E57" i="15"/>
  <c r="D57" i="15"/>
  <c r="F57" i="15"/>
  <c r="AQ54" i="1"/>
  <c r="E58" i="15"/>
  <c r="D58" i="15"/>
  <c r="F58" i="15"/>
  <c r="AQ55" i="1"/>
  <c r="E59" i="15"/>
  <c r="D59" i="15"/>
  <c r="F59" i="15"/>
  <c r="AQ56" i="1"/>
  <c r="E60" i="15"/>
  <c r="D60" i="15"/>
  <c r="F60" i="15"/>
  <c r="AQ57" i="1"/>
  <c r="E61" i="15"/>
  <c r="D61" i="15"/>
  <c r="F61" i="15"/>
  <c r="AQ59" i="1"/>
  <c r="E63" i="15"/>
  <c r="D63" i="15"/>
  <c r="F63" i="15"/>
  <c r="AQ60" i="1"/>
  <c r="E64" i="15"/>
  <c r="D64" i="15"/>
  <c r="F64" i="15"/>
  <c r="AQ61" i="1"/>
  <c r="E65" i="15"/>
  <c r="D65" i="15"/>
  <c r="F65" i="15"/>
  <c r="AQ62" i="1"/>
  <c r="E66" i="15"/>
  <c r="D66" i="15"/>
  <c r="F66" i="15"/>
  <c r="AQ63" i="1"/>
  <c r="E67" i="15"/>
  <c r="D67" i="15"/>
  <c r="F67" i="15"/>
  <c r="AQ64" i="1"/>
  <c r="E68" i="15"/>
  <c r="D68" i="15"/>
  <c r="F68" i="15"/>
  <c r="AQ65" i="1"/>
  <c r="E69" i="15"/>
  <c r="D69" i="15"/>
  <c r="F69" i="15"/>
  <c r="AQ66" i="1"/>
  <c r="E70" i="15"/>
  <c r="D70" i="15"/>
  <c r="F70" i="15"/>
  <c r="AQ67" i="1"/>
  <c r="E71" i="15"/>
  <c r="D71" i="15"/>
  <c r="F71" i="15"/>
  <c r="E7" i="15"/>
  <c r="B9" i="15"/>
  <c r="C9" i="15"/>
  <c r="B10" i="15"/>
  <c r="C10" i="15"/>
  <c r="B11" i="15"/>
  <c r="C11" i="15"/>
  <c r="B12" i="15"/>
  <c r="C12" i="15"/>
  <c r="A14" i="15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B22" i="15"/>
  <c r="C22" i="15"/>
  <c r="B13" i="15"/>
  <c r="C13" i="15"/>
  <c r="A23" i="15"/>
  <c r="B23" i="15"/>
  <c r="C23" i="15"/>
  <c r="B24" i="15"/>
  <c r="C24" i="15"/>
  <c r="B25" i="15"/>
  <c r="C25" i="15"/>
  <c r="B26" i="15"/>
  <c r="C26" i="15"/>
  <c r="A27" i="15"/>
  <c r="B27" i="15"/>
  <c r="C27" i="15"/>
  <c r="B28" i="15"/>
  <c r="C28" i="15"/>
  <c r="B29" i="15"/>
  <c r="C29" i="15"/>
  <c r="B30" i="15"/>
  <c r="C30" i="15"/>
  <c r="A31" i="15"/>
  <c r="B31" i="15"/>
  <c r="C31" i="15"/>
  <c r="B32" i="15"/>
  <c r="C32" i="15"/>
  <c r="B33" i="15"/>
  <c r="C33" i="15"/>
  <c r="B34" i="15"/>
  <c r="C34" i="15"/>
  <c r="B35" i="15"/>
  <c r="C35" i="15"/>
  <c r="A36" i="15"/>
  <c r="B36" i="15"/>
  <c r="C36" i="15"/>
  <c r="B37" i="15"/>
  <c r="C37" i="15"/>
  <c r="B38" i="15"/>
  <c r="C38" i="15"/>
  <c r="B39" i="15"/>
  <c r="C39" i="15"/>
  <c r="A40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A47" i="15"/>
  <c r="B47" i="15"/>
  <c r="C47" i="15"/>
  <c r="B48" i="15"/>
  <c r="C48" i="15"/>
  <c r="B49" i="15"/>
  <c r="C49" i="15"/>
  <c r="B50" i="15"/>
  <c r="C50" i="15"/>
  <c r="A51" i="15"/>
  <c r="B51" i="15"/>
  <c r="C51" i="15"/>
  <c r="B52" i="15"/>
  <c r="C52" i="15"/>
  <c r="B53" i="15"/>
  <c r="C53" i="15"/>
  <c r="B54" i="15"/>
  <c r="C54" i="15"/>
  <c r="B55" i="15"/>
  <c r="C55" i="15"/>
  <c r="B56" i="15"/>
  <c r="C56" i="15"/>
  <c r="B57" i="15"/>
  <c r="C57" i="15"/>
  <c r="B58" i="15"/>
  <c r="C58" i="15"/>
  <c r="B59" i="15"/>
  <c r="C59" i="15"/>
  <c r="A60" i="15"/>
  <c r="B60" i="15"/>
  <c r="C60" i="15"/>
  <c r="B61" i="15"/>
  <c r="C61" i="15"/>
  <c r="A62" i="15"/>
  <c r="B62" i="15"/>
  <c r="C62" i="15"/>
  <c r="B63" i="15"/>
  <c r="C63" i="15"/>
  <c r="B64" i="15"/>
  <c r="C64" i="15"/>
  <c r="B65" i="15"/>
  <c r="C65" i="15"/>
  <c r="A66" i="15"/>
  <c r="B66" i="15"/>
  <c r="C66" i="15"/>
  <c r="B67" i="15"/>
  <c r="C67" i="15"/>
  <c r="B68" i="15"/>
  <c r="C68" i="15"/>
  <c r="B69" i="15"/>
  <c r="C69" i="15"/>
  <c r="B70" i="15"/>
  <c r="C70" i="15"/>
  <c r="B71" i="15"/>
  <c r="C71" i="15"/>
  <c r="C8" i="15"/>
  <c r="B8" i="15"/>
  <c r="A8" i="15"/>
  <c r="D69" i="3"/>
  <c r="D84" i="3"/>
  <c r="D100" i="3"/>
  <c r="D115" i="3"/>
  <c r="D144" i="3"/>
  <c r="E10" i="1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B69" i="3"/>
  <c r="B91" i="3"/>
  <c r="C69" i="3"/>
  <c r="C91" i="3"/>
  <c r="D91" i="3"/>
  <c r="E69" i="3"/>
  <c r="E91" i="3"/>
  <c r="F69" i="3"/>
  <c r="F91" i="3"/>
  <c r="G69" i="3"/>
  <c r="G91" i="3"/>
  <c r="H69" i="3"/>
  <c r="H91" i="3"/>
  <c r="I69" i="3"/>
  <c r="I91" i="3"/>
  <c r="J69" i="3"/>
  <c r="J91" i="3"/>
  <c r="K69" i="3"/>
  <c r="K91" i="3"/>
  <c r="L69" i="3"/>
  <c r="L91" i="3"/>
  <c r="M69" i="3"/>
  <c r="M91" i="3"/>
  <c r="N91" i="3"/>
  <c r="N69" i="3"/>
  <c r="N100" i="3"/>
  <c r="N122" i="3"/>
  <c r="N151" i="3"/>
  <c r="O11" i="11"/>
  <c r="B84" i="3"/>
  <c r="C84" i="3"/>
  <c r="E84" i="3"/>
  <c r="F84" i="3"/>
  <c r="G84" i="3"/>
  <c r="H84" i="3"/>
  <c r="I84" i="3"/>
  <c r="J84" i="3"/>
  <c r="K84" i="3"/>
  <c r="L84" i="3"/>
  <c r="M84" i="3"/>
  <c r="N84" i="3"/>
  <c r="N115" i="3"/>
  <c r="N144" i="3"/>
  <c r="O10" i="11"/>
  <c r="M100" i="3"/>
  <c r="M122" i="3"/>
  <c r="M151" i="3"/>
  <c r="N11" i="11"/>
  <c r="M115" i="3"/>
  <c r="M144" i="3"/>
  <c r="N10" i="11"/>
  <c r="L100" i="3"/>
  <c r="L122" i="3"/>
  <c r="L151" i="3"/>
  <c r="M11" i="11"/>
  <c r="L115" i="3"/>
  <c r="L144" i="3"/>
  <c r="M10" i="11"/>
  <c r="K100" i="3"/>
  <c r="K122" i="3"/>
  <c r="K151" i="3"/>
  <c r="L11" i="11"/>
  <c r="K115" i="3"/>
  <c r="K144" i="3"/>
  <c r="L10" i="11"/>
  <c r="J100" i="3"/>
  <c r="J122" i="3"/>
  <c r="J151" i="3"/>
  <c r="K11" i="11"/>
  <c r="J115" i="3"/>
  <c r="J144" i="3"/>
  <c r="K10" i="11"/>
  <c r="I100" i="3"/>
  <c r="I122" i="3"/>
  <c r="I151" i="3"/>
  <c r="J11" i="11"/>
  <c r="I115" i="3"/>
  <c r="I144" i="3"/>
  <c r="J10" i="11"/>
  <c r="H100" i="3"/>
  <c r="H122" i="3"/>
  <c r="H151" i="3"/>
  <c r="I11" i="11"/>
  <c r="H115" i="3"/>
  <c r="H144" i="3"/>
  <c r="I10" i="11"/>
  <c r="G100" i="3"/>
  <c r="G122" i="3"/>
  <c r="G151" i="3"/>
  <c r="H11" i="11"/>
  <c r="G115" i="3"/>
  <c r="G144" i="3"/>
  <c r="H10" i="11"/>
  <c r="F100" i="3"/>
  <c r="F122" i="3"/>
  <c r="F151" i="3"/>
  <c r="G11" i="11"/>
  <c r="F115" i="3"/>
  <c r="F144" i="3"/>
  <c r="G10" i="11"/>
  <c r="E100" i="3"/>
  <c r="E122" i="3"/>
  <c r="E151" i="3"/>
  <c r="F11" i="11"/>
  <c r="E115" i="3"/>
  <c r="E144" i="3"/>
  <c r="F10" i="11"/>
  <c r="D122" i="3"/>
  <c r="D151" i="3"/>
  <c r="E11" i="11"/>
  <c r="C100" i="3"/>
  <c r="C122" i="3"/>
  <c r="C151" i="3"/>
  <c r="D11" i="11"/>
  <c r="C115" i="3"/>
  <c r="C144" i="3"/>
  <c r="D10" i="11"/>
  <c r="B100" i="3"/>
  <c r="B122" i="3"/>
  <c r="B151" i="3"/>
  <c r="C11" i="11"/>
  <c r="B115" i="3"/>
  <c r="B144" i="3"/>
  <c r="C10" i="11"/>
  <c r="N8" i="9"/>
  <c r="O8" i="11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N10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N10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N10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N10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N10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N10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N10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N10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N11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N11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N11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N11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N11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N11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N11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N11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N11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N12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N12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N12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N12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N125" i="3"/>
  <c r="N126" i="3"/>
  <c r="N10" i="9"/>
  <c r="O9" i="11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6" i="3"/>
  <c r="M117" i="3"/>
  <c r="M118" i="3"/>
  <c r="M119" i="3"/>
  <c r="M120" i="3"/>
  <c r="M121" i="3"/>
  <c r="M123" i="3"/>
  <c r="M124" i="3"/>
  <c r="M125" i="3"/>
  <c r="M126" i="3"/>
  <c r="M10" i="9"/>
  <c r="N9" i="11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6" i="3"/>
  <c r="L117" i="3"/>
  <c r="L118" i="3"/>
  <c r="L119" i="3"/>
  <c r="L120" i="3"/>
  <c r="L121" i="3"/>
  <c r="L123" i="3"/>
  <c r="L124" i="3"/>
  <c r="L125" i="3"/>
  <c r="L126" i="3"/>
  <c r="L10" i="9"/>
  <c r="M9" i="11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6" i="3"/>
  <c r="K117" i="3"/>
  <c r="K118" i="3"/>
  <c r="K119" i="3"/>
  <c r="K120" i="3"/>
  <c r="K121" i="3"/>
  <c r="K123" i="3"/>
  <c r="K124" i="3"/>
  <c r="K125" i="3"/>
  <c r="K126" i="3"/>
  <c r="K10" i="9"/>
  <c r="L9" i="11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6" i="3"/>
  <c r="J117" i="3"/>
  <c r="J118" i="3"/>
  <c r="J119" i="3"/>
  <c r="J120" i="3"/>
  <c r="J121" i="3"/>
  <c r="J123" i="3"/>
  <c r="J124" i="3"/>
  <c r="J125" i="3"/>
  <c r="J126" i="3"/>
  <c r="J10" i="9"/>
  <c r="K9" i="11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6" i="3"/>
  <c r="I117" i="3"/>
  <c r="I118" i="3"/>
  <c r="I119" i="3"/>
  <c r="I120" i="3"/>
  <c r="I121" i="3"/>
  <c r="I123" i="3"/>
  <c r="I124" i="3"/>
  <c r="I125" i="3"/>
  <c r="I126" i="3"/>
  <c r="I10" i="9"/>
  <c r="J9" i="11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6" i="3"/>
  <c r="H117" i="3"/>
  <c r="H118" i="3"/>
  <c r="H119" i="3"/>
  <c r="H120" i="3"/>
  <c r="H121" i="3"/>
  <c r="H123" i="3"/>
  <c r="H124" i="3"/>
  <c r="H125" i="3"/>
  <c r="H126" i="3"/>
  <c r="H10" i="9"/>
  <c r="I9" i="11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6" i="3"/>
  <c r="G117" i="3"/>
  <c r="G118" i="3"/>
  <c r="G119" i="3"/>
  <c r="G120" i="3"/>
  <c r="G121" i="3"/>
  <c r="G123" i="3"/>
  <c r="G124" i="3"/>
  <c r="G125" i="3"/>
  <c r="G126" i="3"/>
  <c r="G10" i="9"/>
  <c r="H9" i="11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3" i="3"/>
  <c r="F124" i="3"/>
  <c r="F125" i="3"/>
  <c r="F126" i="3"/>
  <c r="F10" i="9"/>
  <c r="G9" i="11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6" i="3"/>
  <c r="E117" i="3"/>
  <c r="E118" i="3"/>
  <c r="E119" i="3"/>
  <c r="E120" i="3"/>
  <c r="E121" i="3"/>
  <c r="E123" i="3"/>
  <c r="E124" i="3"/>
  <c r="E125" i="3"/>
  <c r="E126" i="3"/>
  <c r="E10" i="9"/>
  <c r="F9" i="11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6" i="3"/>
  <c r="D117" i="3"/>
  <c r="D118" i="3"/>
  <c r="D119" i="3"/>
  <c r="D120" i="3"/>
  <c r="D121" i="3"/>
  <c r="D123" i="3"/>
  <c r="D124" i="3"/>
  <c r="D125" i="3"/>
  <c r="D126" i="3"/>
  <c r="D10" i="9"/>
  <c r="E9" i="11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6" i="3"/>
  <c r="C117" i="3"/>
  <c r="C118" i="3"/>
  <c r="C119" i="3"/>
  <c r="C120" i="3"/>
  <c r="C121" i="3"/>
  <c r="C123" i="3"/>
  <c r="C124" i="3"/>
  <c r="C125" i="3"/>
  <c r="C126" i="3"/>
  <c r="C10" i="9"/>
  <c r="D9" i="11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6" i="3"/>
  <c r="B117" i="3"/>
  <c r="B118" i="3"/>
  <c r="B119" i="3"/>
  <c r="B120" i="3"/>
  <c r="B121" i="3"/>
  <c r="B123" i="3"/>
  <c r="B124" i="3"/>
  <c r="B125" i="3"/>
  <c r="B126" i="3"/>
  <c r="B10" i="9"/>
  <c r="C9" i="11"/>
  <c r="M8" i="9"/>
  <c r="N8" i="11"/>
  <c r="L8" i="9"/>
  <c r="M8" i="11"/>
  <c r="K8" i="9"/>
  <c r="L8" i="11"/>
  <c r="J8" i="9"/>
  <c r="K8" i="11"/>
  <c r="I8" i="9"/>
  <c r="J8" i="11"/>
  <c r="H8" i="9"/>
  <c r="I8" i="11"/>
  <c r="G8" i="9"/>
  <c r="H8" i="11"/>
  <c r="F8" i="9"/>
  <c r="G8" i="11"/>
  <c r="E8" i="9"/>
  <c r="F8" i="11"/>
  <c r="D8" i="9"/>
  <c r="E8" i="11"/>
  <c r="C8" i="9"/>
  <c r="D8" i="11"/>
  <c r="B8" i="9"/>
  <c r="C8" i="11"/>
  <c r="G32" i="2"/>
  <c r="H32" i="2"/>
  <c r="O31" i="8"/>
  <c r="G31" i="2"/>
  <c r="H31" i="2"/>
  <c r="O30" i="8"/>
  <c r="G30" i="2"/>
  <c r="H30" i="2"/>
  <c r="O29" i="8"/>
  <c r="G29" i="2"/>
  <c r="H29" i="2"/>
  <c r="O28" i="8"/>
  <c r="G28" i="2"/>
  <c r="H28" i="2"/>
  <c r="O27" i="8"/>
  <c r="G27" i="2"/>
  <c r="H27" i="2"/>
  <c r="O26" i="8"/>
  <c r="G26" i="2"/>
  <c r="H26" i="2"/>
  <c r="O25" i="8"/>
  <c r="G25" i="2"/>
  <c r="H25" i="2"/>
  <c r="O24" i="8"/>
  <c r="G24" i="2"/>
  <c r="H24" i="2"/>
  <c r="O23" i="8"/>
  <c r="G23" i="2"/>
  <c r="H23" i="2"/>
  <c r="O22" i="8"/>
  <c r="G22" i="2"/>
  <c r="H22" i="2"/>
  <c r="O21" i="8"/>
  <c r="G21" i="2"/>
  <c r="H21" i="2"/>
  <c r="O20" i="8"/>
  <c r="G20" i="2"/>
  <c r="H20" i="2"/>
  <c r="O19" i="8"/>
  <c r="G19" i="2"/>
  <c r="H19" i="2"/>
  <c r="O18" i="8"/>
  <c r="G18" i="2"/>
  <c r="H18" i="2"/>
  <c r="O17" i="8"/>
  <c r="G17" i="2"/>
  <c r="H17" i="2"/>
  <c r="O16" i="8"/>
  <c r="G16" i="2"/>
  <c r="H16" i="2"/>
  <c r="O15" i="8"/>
  <c r="G15" i="2"/>
  <c r="H15" i="2"/>
  <c r="O14" i="8"/>
  <c r="G14" i="2"/>
  <c r="H14" i="2"/>
  <c r="O13" i="8"/>
  <c r="G13" i="2"/>
  <c r="H13" i="2"/>
  <c r="O12" i="8"/>
  <c r="G12" i="2"/>
  <c r="H12" i="2"/>
  <c r="O11" i="8"/>
  <c r="G11" i="2"/>
  <c r="H11" i="2"/>
  <c r="O10" i="8"/>
  <c r="G10" i="2"/>
  <c r="H10" i="2"/>
  <c r="O9" i="8"/>
  <c r="G9" i="2"/>
  <c r="H9" i="2"/>
  <c r="O8" i="8"/>
  <c r="CA32" i="2"/>
  <c r="CB32" i="2"/>
  <c r="N31" i="8"/>
  <c r="CA31" i="2"/>
  <c r="CB31" i="2"/>
  <c r="N30" i="8"/>
  <c r="CA30" i="2"/>
  <c r="CB30" i="2"/>
  <c r="N29" i="8"/>
  <c r="CA29" i="2"/>
  <c r="CB29" i="2"/>
  <c r="N28" i="8"/>
  <c r="CA28" i="2"/>
  <c r="CB28" i="2"/>
  <c r="N27" i="8"/>
  <c r="CA27" i="2"/>
  <c r="CB27" i="2"/>
  <c r="N26" i="8"/>
  <c r="CA26" i="2"/>
  <c r="CB26" i="2"/>
  <c r="N25" i="8"/>
  <c r="CA25" i="2"/>
  <c r="CB25" i="2"/>
  <c r="N24" i="8"/>
  <c r="CA24" i="2"/>
  <c r="CB24" i="2"/>
  <c r="N23" i="8"/>
  <c r="CA23" i="2"/>
  <c r="CB23" i="2"/>
  <c r="N22" i="8"/>
  <c r="CA22" i="2"/>
  <c r="CB22" i="2"/>
  <c r="N21" i="8"/>
  <c r="CA21" i="2"/>
  <c r="CB21" i="2"/>
  <c r="N20" i="8"/>
  <c r="CA20" i="2"/>
  <c r="CB20" i="2"/>
  <c r="N19" i="8"/>
  <c r="CA19" i="2"/>
  <c r="CB19" i="2"/>
  <c r="N18" i="8"/>
  <c r="CA18" i="2"/>
  <c r="CB18" i="2"/>
  <c r="N17" i="8"/>
  <c r="CA17" i="2"/>
  <c r="CB17" i="2"/>
  <c r="N16" i="8"/>
  <c r="CA16" i="2"/>
  <c r="CB16" i="2"/>
  <c r="N15" i="8"/>
  <c r="CA15" i="2"/>
  <c r="CB15" i="2"/>
  <c r="N14" i="8"/>
  <c r="CA14" i="2"/>
  <c r="CB14" i="2"/>
  <c r="N13" i="8"/>
  <c r="CA13" i="2"/>
  <c r="CB13" i="2"/>
  <c r="N12" i="8"/>
  <c r="CA12" i="2"/>
  <c r="CB12" i="2"/>
  <c r="N11" i="8"/>
  <c r="CA11" i="2"/>
  <c r="CB11" i="2"/>
  <c r="N10" i="8"/>
  <c r="CA10" i="2"/>
  <c r="CB10" i="2"/>
  <c r="N9" i="8"/>
  <c r="CA9" i="2"/>
  <c r="CB9" i="2"/>
  <c r="N8" i="8"/>
  <c r="J7" i="8"/>
  <c r="CC32" i="2"/>
  <c r="CC31" i="2"/>
  <c r="CC30" i="2"/>
  <c r="CC29" i="2"/>
  <c r="CC28" i="2"/>
  <c r="CC27" i="2"/>
  <c r="CC26" i="2"/>
  <c r="CC25" i="2"/>
  <c r="CC24" i="2"/>
  <c r="CC23" i="2"/>
  <c r="CC22" i="2"/>
  <c r="CC21" i="2"/>
  <c r="CC20" i="2"/>
  <c r="CC19" i="2"/>
  <c r="CC18" i="2"/>
  <c r="CC17" i="2"/>
  <c r="CC16" i="2"/>
  <c r="CC15" i="2"/>
  <c r="CC14" i="2"/>
  <c r="CC13" i="2"/>
  <c r="CC12" i="2"/>
  <c r="CC11" i="2"/>
  <c r="CC10" i="2"/>
  <c r="CC9" i="2"/>
  <c r="AW32" i="2"/>
  <c r="AX32" i="2"/>
  <c r="M31" i="8"/>
  <c r="AW31" i="2"/>
  <c r="AX31" i="2"/>
  <c r="M30" i="8"/>
  <c r="AW30" i="2"/>
  <c r="AX30" i="2"/>
  <c r="M29" i="8"/>
  <c r="AW29" i="2"/>
  <c r="AX29" i="2"/>
  <c r="M28" i="8"/>
  <c r="AW28" i="2"/>
  <c r="AX28" i="2"/>
  <c r="M27" i="8"/>
  <c r="AW27" i="2"/>
  <c r="AX27" i="2"/>
  <c r="M26" i="8"/>
  <c r="AW26" i="2"/>
  <c r="AX26" i="2"/>
  <c r="M25" i="8"/>
  <c r="AW25" i="2"/>
  <c r="AX25" i="2"/>
  <c r="M24" i="8"/>
  <c r="AW24" i="2"/>
  <c r="AX24" i="2"/>
  <c r="M23" i="8"/>
  <c r="AW23" i="2"/>
  <c r="AX23" i="2"/>
  <c r="M22" i="8"/>
  <c r="AW22" i="2"/>
  <c r="AX22" i="2"/>
  <c r="M21" i="8"/>
  <c r="AW21" i="2"/>
  <c r="AX21" i="2"/>
  <c r="M20" i="8"/>
  <c r="AW20" i="2"/>
  <c r="AX20" i="2"/>
  <c r="M19" i="8"/>
  <c r="AW19" i="2"/>
  <c r="AX19" i="2"/>
  <c r="M18" i="8"/>
  <c r="AW18" i="2"/>
  <c r="AX18" i="2"/>
  <c r="M17" i="8"/>
  <c r="AW17" i="2"/>
  <c r="AX17" i="2"/>
  <c r="M16" i="8"/>
  <c r="AW16" i="2"/>
  <c r="AX16" i="2"/>
  <c r="M15" i="8"/>
  <c r="AW15" i="2"/>
  <c r="AX15" i="2"/>
  <c r="M14" i="8"/>
  <c r="AW14" i="2"/>
  <c r="AX14" i="2"/>
  <c r="M13" i="8"/>
  <c r="AW13" i="2"/>
  <c r="AX13" i="2"/>
  <c r="M12" i="8"/>
  <c r="AW12" i="2"/>
  <c r="AX12" i="2"/>
  <c r="M11" i="8"/>
  <c r="AW11" i="2"/>
  <c r="AX11" i="2"/>
  <c r="M10" i="8"/>
  <c r="AW10" i="2"/>
  <c r="AX10" i="2"/>
  <c r="M9" i="8"/>
  <c r="AW9" i="2"/>
  <c r="AX9" i="2"/>
  <c r="M8" i="8"/>
  <c r="BU32" i="2"/>
  <c r="BV32" i="2"/>
  <c r="L31" i="8"/>
  <c r="BU31" i="2"/>
  <c r="BV31" i="2"/>
  <c r="L30" i="8"/>
  <c r="BU30" i="2"/>
  <c r="BV30" i="2"/>
  <c r="L29" i="8"/>
  <c r="BU29" i="2"/>
  <c r="BV29" i="2"/>
  <c r="L28" i="8"/>
  <c r="BU28" i="2"/>
  <c r="BV28" i="2"/>
  <c r="L27" i="8"/>
  <c r="BU27" i="2"/>
  <c r="BV27" i="2"/>
  <c r="L26" i="8"/>
  <c r="BU26" i="2"/>
  <c r="BV26" i="2"/>
  <c r="L25" i="8"/>
  <c r="BU25" i="2"/>
  <c r="BV25" i="2"/>
  <c r="L24" i="8"/>
  <c r="BU24" i="2"/>
  <c r="BV24" i="2"/>
  <c r="L23" i="8"/>
  <c r="BU23" i="2"/>
  <c r="BV23" i="2"/>
  <c r="L22" i="8"/>
  <c r="BU22" i="2"/>
  <c r="BV22" i="2"/>
  <c r="L21" i="8"/>
  <c r="BU21" i="2"/>
  <c r="BV21" i="2"/>
  <c r="L20" i="8"/>
  <c r="BU20" i="2"/>
  <c r="BV20" i="2"/>
  <c r="L19" i="8"/>
  <c r="BU19" i="2"/>
  <c r="BV19" i="2"/>
  <c r="L18" i="8"/>
  <c r="BU18" i="2"/>
  <c r="BV18" i="2"/>
  <c r="L17" i="8"/>
  <c r="BU17" i="2"/>
  <c r="BV17" i="2"/>
  <c r="L16" i="8"/>
  <c r="BU16" i="2"/>
  <c r="BV16" i="2"/>
  <c r="L15" i="8"/>
  <c r="BU15" i="2"/>
  <c r="BV15" i="2"/>
  <c r="L14" i="8"/>
  <c r="BU14" i="2"/>
  <c r="BV14" i="2"/>
  <c r="L13" i="8"/>
  <c r="BU13" i="2"/>
  <c r="BV13" i="2"/>
  <c r="L12" i="8"/>
  <c r="BU12" i="2"/>
  <c r="BV12" i="2"/>
  <c r="L11" i="8"/>
  <c r="BU11" i="2"/>
  <c r="BV11" i="2"/>
  <c r="L10" i="8"/>
  <c r="BU10" i="2"/>
  <c r="BV10" i="2"/>
  <c r="L9" i="8"/>
  <c r="BW32" i="2"/>
  <c r="BW31" i="2"/>
  <c r="BW30" i="2"/>
  <c r="BW29" i="2"/>
  <c r="BW28" i="2"/>
  <c r="BW27" i="2"/>
  <c r="BW26" i="2"/>
  <c r="BW25" i="2"/>
  <c r="BW24" i="2"/>
  <c r="BW23" i="2"/>
  <c r="BW22" i="2"/>
  <c r="BW21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U9" i="2"/>
  <c r="BV9" i="2"/>
  <c r="L8" i="8"/>
  <c r="BO32" i="2"/>
  <c r="BP32" i="2"/>
  <c r="K31" i="8"/>
  <c r="BO31" i="2"/>
  <c r="BP31" i="2"/>
  <c r="K30" i="8"/>
  <c r="BO30" i="2"/>
  <c r="BP30" i="2"/>
  <c r="K29" i="8"/>
  <c r="BO29" i="2"/>
  <c r="BP29" i="2"/>
  <c r="K28" i="8"/>
  <c r="BO28" i="2"/>
  <c r="BP28" i="2"/>
  <c r="K27" i="8"/>
  <c r="BO27" i="2"/>
  <c r="BP27" i="2"/>
  <c r="K26" i="8"/>
  <c r="BO26" i="2"/>
  <c r="BP26" i="2"/>
  <c r="K25" i="8"/>
  <c r="BO25" i="2"/>
  <c r="BP25" i="2"/>
  <c r="K24" i="8"/>
  <c r="BO24" i="2"/>
  <c r="BP24" i="2"/>
  <c r="K23" i="8"/>
  <c r="BO23" i="2"/>
  <c r="BP23" i="2"/>
  <c r="K22" i="8"/>
  <c r="BO22" i="2"/>
  <c r="BP22" i="2"/>
  <c r="K21" i="8"/>
  <c r="BO21" i="2"/>
  <c r="BP21" i="2"/>
  <c r="K20" i="8"/>
  <c r="BO20" i="2"/>
  <c r="BP20" i="2"/>
  <c r="K19" i="8"/>
  <c r="BO19" i="2"/>
  <c r="BP19" i="2"/>
  <c r="K18" i="8"/>
  <c r="BO18" i="2"/>
  <c r="BP18" i="2"/>
  <c r="K17" i="8"/>
  <c r="BO17" i="2"/>
  <c r="BP17" i="2"/>
  <c r="K16" i="8"/>
  <c r="BO16" i="2"/>
  <c r="BP16" i="2"/>
  <c r="K15" i="8"/>
  <c r="BO15" i="2"/>
  <c r="BP15" i="2"/>
  <c r="K14" i="8"/>
  <c r="BO14" i="2"/>
  <c r="BP14" i="2"/>
  <c r="K13" i="8"/>
  <c r="BO13" i="2"/>
  <c r="BP13" i="2"/>
  <c r="K12" i="8"/>
  <c r="BO12" i="2"/>
  <c r="BP12" i="2"/>
  <c r="K11" i="8"/>
  <c r="BO11" i="2"/>
  <c r="BP11" i="2"/>
  <c r="K10" i="8"/>
  <c r="BO10" i="2"/>
  <c r="BP10" i="2"/>
  <c r="K9" i="8"/>
  <c r="BO9" i="2"/>
  <c r="BP9" i="2"/>
  <c r="K8" i="8"/>
  <c r="AQ32" i="2"/>
  <c r="AR32" i="2"/>
  <c r="J31" i="8"/>
  <c r="AQ31" i="2"/>
  <c r="AR31" i="2"/>
  <c r="J30" i="8"/>
  <c r="AQ30" i="2"/>
  <c r="AR30" i="2"/>
  <c r="J29" i="8"/>
  <c r="AQ29" i="2"/>
  <c r="AR29" i="2"/>
  <c r="J28" i="8"/>
  <c r="AQ28" i="2"/>
  <c r="AR28" i="2"/>
  <c r="J27" i="8"/>
  <c r="AQ27" i="2"/>
  <c r="AR27" i="2"/>
  <c r="J26" i="8"/>
  <c r="AQ26" i="2"/>
  <c r="AR26" i="2"/>
  <c r="J25" i="8"/>
  <c r="AQ25" i="2"/>
  <c r="AR25" i="2"/>
  <c r="J24" i="8"/>
  <c r="AQ24" i="2"/>
  <c r="AR24" i="2"/>
  <c r="J23" i="8"/>
  <c r="AQ23" i="2"/>
  <c r="AR23" i="2"/>
  <c r="J22" i="8"/>
  <c r="AQ22" i="2"/>
  <c r="AR22" i="2"/>
  <c r="J21" i="8"/>
  <c r="AQ21" i="2"/>
  <c r="AR21" i="2"/>
  <c r="J20" i="8"/>
  <c r="AQ20" i="2"/>
  <c r="AR20" i="2"/>
  <c r="J19" i="8"/>
  <c r="AQ19" i="2"/>
  <c r="AR19" i="2"/>
  <c r="J18" i="8"/>
  <c r="AQ18" i="2"/>
  <c r="AR18" i="2"/>
  <c r="J17" i="8"/>
  <c r="AQ17" i="2"/>
  <c r="AR17" i="2"/>
  <c r="J16" i="8"/>
  <c r="AQ16" i="2"/>
  <c r="AR16" i="2"/>
  <c r="J15" i="8"/>
  <c r="AQ15" i="2"/>
  <c r="AR15" i="2"/>
  <c r="J14" i="8"/>
  <c r="AQ14" i="2"/>
  <c r="AR14" i="2"/>
  <c r="J13" i="8"/>
  <c r="AQ13" i="2"/>
  <c r="AR13" i="2"/>
  <c r="J12" i="8"/>
  <c r="AQ12" i="2"/>
  <c r="AR12" i="2"/>
  <c r="J11" i="8"/>
  <c r="AQ11" i="2"/>
  <c r="AR11" i="2"/>
  <c r="J10" i="8"/>
  <c r="AQ10" i="2"/>
  <c r="AR10" i="2"/>
  <c r="J9" i="8"/>
  <c r="AQ9" i="2"/>
  <c r="AR9" i="2"/>
  <c r="J8" i="8"/>
  <c r="AK32" i="2"/>
  <c r="AL32" i="2"/>
  <c r="I31" i="8"/>
  <c r="AK31" i="2"/>
  <c r="AL31" i="2"/>
  <c r="I30" i="8"/>
  <c r="AK30" i="2"/>
  <c r="AL30" i="2"/>
  <c r="I29" i="8"/>
  <c r="AK29" i="2"/>
  <c r="AL29" i="2"/>
  <c r="I28" i="8"/>
  <c r="AK28" i="2"/>
  <c r="AL28" i="2"/>
  <c r="I27" i="8"/>
  <c r="AK27" i="2"/>
  <c r="AL27" i="2"/>
  <c r="I26" i="8"/>
  <c r="AK26" i="2"/>
  <c r="AL26" i="2"/>
  <c r="I25" i="8"/>
  <c r="AK25" i="2"/>
  <c r="AL25" i="2"/>
  <c r="I24" i="8"/>
  <c r="AK24" i="2"/>
  <c r="AL24" i="2"/>
  <c r="I23" i="8"/>
  <c r="AK23" i="2"/>
  <c r="AL23" i="2"/>
  <c r="I22" i="8"/>
  <c r="AK22" i="2"/>
  <c r="AL22" i="2"/>
  <c r="I21" i="8"/>
  <c r="AK21" i="2"/>
  <c r="AL21" i="2"/>
  <c r="I20" i="8"/>
  <c r="AK20" i="2"/>
  <c r="AL20" i="2"/>
  <c r="I19" i="8"/>
  <c r="AK19" i="2"/>
  <c r="AL19" i="2"/>
  <c r="I18" i="8"/>
  <c r="AK18" i="2"/>
  <c r="AL18" i="2"/>
  <c r="I17" i="8"/>
  <c r="AK17" i="2"/>
  <c r="AL17" i="2"/>
  <c r="I16" i="8"/>
  <c r="AK16" i="2"/>
  <c r="AL16" i="2"/>
  <c r="I15" i="8"/>
  <c r="AK15" i="2"/>
  <c r="AL15" i="2"/>
  <c r="I14" i="8"/>
  <c r="AK14" i="2"/>
  <c r="AL14" i="2"/>
  <c r="I13" i="8"/>
  <c r="AK13" i="2"/>
  <c r="AL13" i="2"/>
  <c r="I12" i="8"/>
  <c r="AK12" i="2"/>
  <c r="AL12" i="2"/>
  <c r="I11" i="8"/>
  <c r="AK11" i="2"/>
  <c r="AL11" i="2"/>
  <c r="I10" i="8"/>
  <c r="AK10" i="2"/>
  <c r="AL10" i="2"/>
  <c r="I9" i="8"/>
  <c r="AK9" i="2"/>
  <c r="AL9" i="2"/>
  <c r="I8" i="8"/>
  <c r="AE32" i="2"/>
  <c r="AF32" i="2"/>
  <c r="H31" i="8"/>
  <c r="AE31" i="2"/>
  <c r="AF31" i="2"/>
  <c r="H30" i="8"/>
  <c r="AE30" i="2"/>
  <c r="AF30" i="2"/>
  <c r="H29" i="8"/>
  <c r="AE29" i="2"/>
  <c r="AF29" i="2"/>
  <c r="H28" i="8"/>
  <c r="AE28" i="2"/>
  <c r="AF28" i="2"/>
  <c r="H27" i="8"/>
  <c r="AE27" i="2"/>
  <c r="AF27" i="2"/>
  <c r="H26" i="8"/>
  <c r="AE26" i="2"/>
  <c r="AF26" i="2"/>
  <c r="H25" i="8"/>
  <c r="AE25" i="2"/>
  <c r="AF25" i="2"/>
  <c r="H24" i="8"/>
  <c r="AE24" i="2"/>
  <c r="AF24" i="2"/>
  <c r="H23" i="8"/>
  <c r="AE23" i="2"/>
  <c r="AF23" i="2"/>
  <c r="H22" i="8"/>
  <c r="AE22" i="2"/>
  <c r="AF22" i="2"/>
  <c r="H21" i="8"/>
  <c r="AE21" i="2"/>
  <c r="AF21" i="2"/>
  <c r="H20" i="8"/>
  <c r="AE20" i="2"/>
  <c r="AF20" i="2"/>
  <c r="H19" i="8"/>
  <c r="AE19" i="2"/>
  <c r="AF19" i="2"/>
  <c r="H18" i="8"/>
  <c r="AE18" i="2"/>
  <c r="AF18" i="2"/>
  <c r="H17" i="8"/>
  <c r="AE17" i="2"/>
  <c r="AF17" i="2"/>
  <c r="H16" i="8"/>
  <c r="AE16" i="2"/>
  <c r="AF16" i="2"/>
  <c r="H15" i="8"/>
  <c r="AE15" i="2"/>
  <c r="AF15" i="2"/>
  <c r="H14" i="8"/>
  <c r="AE14" i="2"/>
  <c r="AF14" i="2"/>
  <c r="H13" i="8"/>
  <c r="AE13" i="2"/>
  <c r="AF13" i="2"/>
  <c r="H12" i="8"/>
  <c r="AE12" i="2"/>
  <c r="AF12" i="2"/>
  <c r="H11" i="8"/>
  <c r="AE11" i="2"/>
  <c r="AF11" i="2"/>
  <c r="H10" i="8"/>
  <c r="AE10" i="2"/>
  <c r="AF10" i="2"/>
  <c r="H9" i="8"/>
  <c r="AE9" i="2"/>
  <c r="AF9" i="2"/>
  <c r="H8" i="8"/>
  <c r="BI32" i="2"/>
  <c r="BJ32" i="2"/>
  <c r="G31" i="8"/>
  <c r="BI31" i="2"/>
  <c r="BJ31" i="2"/>
  <c r="G30" i="8"/>
  <c r="BI30" i="2"/>
  <c r="BJ30" i="2"/>
  <c r="G29" i="8"/>
  <c r="BI29" i="2"/>
  <c r="BJ29" i="2"/>
  <c r="G28" i="8"/>
  <c r="BI28" i="2"/>
  <c r="BJ28" i="2"/>
  <c r="G27" i="8"/>
  <c r="BI27" i="2"/>
  <c r="BJ27" i="2"/>
  <c r="G26" i="8"/>
  <c r="BI26" i="2"/>
  <c r="BJ26" i="2"/>
  <c r="G25" i="8"/>
  <c r="BI25" i="2"/>
  <c r="BJ25" i="2"/>
  <c r="G24" i="8"/>
  <c r="BI24" i="2"/>
  <c r="BJ24" i="2"/>
  <c r="G23" i="8"/>
  <c r="BI23" i="2"/>
  <c r="BJ23" i="2"/>
  <c r="G22" i="8"/>
  <c r="BI22" i="2"/>
  <c r="BJ22" i="2"/>
  <c r="G21" i="8"/>
  <c r="BI21" i="2"/>
  <c r="BJ21" i="2"/>
  <c r="G20" i="8"/>
  <c r="BI20" i="2"/>
  <c r="BJ20" i="2"/>
  <c r="G19" i="8"/>
  <c r="BI19" i="2"/>
  <c r="BJ19" i="2"/>
  <c r="G18" i="8"/>
  <c r="BI18" i="2"/>
  <c r="BJ18" i="2"/>
  <c r="G17" i="8"/>
  <c r="BI17" i="2"/>
  <c r="BJ17" i="2"/>
  <c r="G16" i="8"/>
  <c r="BI16" i="2"/>
  <c r="BJ16" i="2"/>
  <c r="G15" i="8"/>
  <c r="BI15" i="2"/>
  <c r="BJ15" i="2"/>
  <c r="G14" i="8"/>
  <c r="BI14" i="2"/>
  <c r="BJ14" i="2"/>
  <c r="G13" i="8"/>
  <c r="BI13" i="2"/>
  <c r="BJ13" i="2"/>
  <c r="G12" i="8"/>
  <c r="BI12" i="2"/>
  <c r="BJ12" i="2"/>
  <c r="G11" i="8"/>
  <c r="BI11" i="2"/>
  <c r="BJ11" i="2"/>
  <c r="G10" i="8"/>
  <c r="BI10" i="2"/>
  <c r="BJ10" i="2"/>
  <c r="G9" i="8"/>
  <c r="BI9" i="2"/>
  <c r="BJ9" i="2"/>
  <c r="G8" i="8"/>
  <c r="BQ32" i="2"/>
  <c r="BQ31" i="2"/>
  <c r="BQ30" i="2"/>
  <c r="BQ29" i="2"/>
  <c r="BQ28" i="2"/>
  <c r="BQ27" i="2"/>
  <c r="BQ26" i="2"/>
  <c r="BQ25" i="2"/>
  <c r="BQ24" i="2"/>
  <c r="BQ23" i="2"/>
  <c r="BQ22" i="2"/>
  <c r="BQ21" i="2"/>
  <c r="BQ20" i="2"/>
  <c r="BQ19" i="2"/>
  <c r="BQ18" i="2"/>
  <c r="BQ17" i="2"/>
  <c r="BQ16" i="2"/>
  <c r="BQ15" i="2"/>
  <c r="BQ14" i="2"/>
  <c r="BQ13" i="2"/>
  <c r="BQ12" i="2"/>
  <c r="BQ11" i="2"/>
  <c r="BQ10" i="2"/>
  <c r="BQ9" i="2"/>
  <c r="BK32" i="2"/>
  <c r="BK31" i="2"/>
  <c r="BK30" i="2"/>
  <c r="BK29" i="2"/>
  <c r="BK28" i="2"/>
  <c r="BK27" i="2"/>
  <c r="BK26" i="2"/>
  <c r="BK25" i="2"/>
  <c r="BK24" i="2"/>
  <c r="BK23" i="2"/>
  <c r="BK22" i="2"/>
  <c r="BK21" i="2"/>
  <c r="BK20" i="2"/>
  <c r="BK19" i="2"/>
  <c r="BK18" i="2"/>
  <c r="BK17" i="2"/>
  <c r="BK16" i="2"/>
  <c r="BK15" i="2"/>
  <c r="BK14" i="2"/>
  <c r="BK13" i="2"/>
  <c r="BK12" i="2"/>
  <c r="BK11" i="2"/>
  <c r="BK10" i="2"/>
  <c r="BK9" i="2"/>
  <c r="BE32" i="2"/>
  <c r="BE31" i="2"/>
  <c r="BE30" i="2"/>
  <c r="BE29" i="2"/>
  <c r="BE28" i="2"/>
  <c r="BE27" i="2"/>
  <c r="BE26" i="2"/>
  <c r="BE25" i="2"/>
  <c r="BE24" i="2"/>
  <c r="BE23" i="2"/>
  <c r="BE22" i="2"/>
  <c r="BE21" i="2"/>
  <c r="BE20" i="2"/>
  <c r="BE19" i="2"/>
  <c r="BE18" i="2"/>
  <c r="BE17" i="2"/>
  <c r="BE16" i="2"/>
  <c r="BE15" i="2"/>
  <c r="BE14" i="2"/>
  <c r="BE13" i="2"/>
  <c r="BE12" i="2"/>
  <c r="BE11" i="2"/>
  <c r="BE10" i="2"/>
  <c r="BE9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AY32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AY17" i="2"/>
  <c r="AY16" i="2"/>
  <c r="AY15" i="2"/>
  <c r="AY14" i="2"/>
  <c r="AY13" i="2"/>
  <c r="AY12" i="2"/>
  <c r="AY11" i="2"/>
  <c r="AY10" i="2"/>
  <c r="AY9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Z7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U9" i="2"/>
  <c r="S9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CG33" i="4"/>
  <c r="CB7" i="2"/>
  <c r="BV7" i="2"/>
  <c r="BP7" i="2"/>
  <c r="BJ7" i="2"/>
  <c r="BD7" i="2"/>
  <c r="AX7" i="2"/>
  <c r="AR7" i="2"/>
  <c r="AL7" i="2"/>
  <c r="AF7" i="2"/>
  <c r="T7" i="2"/>
  <c r="N7" i="2"/>
  <c r="H7" i="2"/>
  <c r="AQ58" i="4"/>
  <c r="AQ57" i="4"/>
  <c r="AQ56" i="4"/>
  <c r="AQ55" i="4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J58" i="4"/>
  <c r="AJ57" i="4"/>
  <c r="AJ56" i="4"/>
  <c r="AJ55" i="4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BE58" i="4"/>
  <c r="BE57" i="4"/>
  <c r="BE56" i="4"/>
  <c r="BE55" i="4"/>
  <c r="BE54" i="4"/>
  <c r="BE53" i="4"/>
  <c r="BE52" i="4"/>
  <c r="BE51" i="4"/>
  <c r="BE50" i="4"/>
  <c r="BE49" i="4"/>
  <c r="BE48" i="4"/>
  <c r="BE47" i="4"/>
  <c r="BE46" i="4"/>
  <c r="BE45" i="4"/>
  <c r="BE44" i="4"/>
  <c r="BE43" i="4"/>
  <c r="BE42" i="4"/>
  <c r="BE41" i="4"/>
  <c r="BE40" i="4"/>
  <c r="BE39" i="4"/>
  <c r="BE38" i="4"/>
  <c r="BE37" i="4"/>
  <c r="BE36" i="4"/>
  <c r="BE35" i="4"/>
  <c r="O7" i="8"/>
  <c r="N7" i="8"/>
  <c r="M7" i="8"/>
  <c r="L7" i="8"/>
  <c r="K7" i="8"/>
  <c r="I7" i="8"/>
  <c r="H7" i="8"/>
  <c r="G7" i="8"/>
  <c r="F7" i="8"/>
  <c r="E7" i="8"/>
  <c r="D7" i="8"/>
  <c r="C7" i="8"/>
  <c r="CH58" i="4"/>
  <c r="CG58" i="4"/>
  <c r="CH57" i="4"/>
  <c r="CG57" i="4"/>
  <c r="CH56" i="4"/>
  <c r="CG56" i="4"/>
  <c r="CH55" i="4"/>
  <c r="CG55" i="4"/>
  <c r="CH54" i="4"/>
  <c r="CG54" i="4"/>
  <c r="CH53" i="4"/>
  <c r="CG53" i="4"/>
  <c r="CH52" i="4"/>
  <c r="CG52" i="4"/>
  <c r="CH51" i="4"/>
  <c r="CG51" i="4"/>
  <c r="CH50" i="4"/>
  <c r="CG50" i="4"/>
  <c r="CH49" i="4"/>
  <c r="CG49" i="4"/>
  <c r="CH48" i="4"/>
  <c r="CG48" i="4"/>
  <c r="CH47" i="4"/>
  <c r="CG47" i="4"/>
  <c r="CH46" i="4"/>
  <c r="CG46" i="4"/>
  <c r="CH45" i="4"/>
  <c r="CG45" i="4"/>
  <c r="CH44" i="4"/>
  <c r="CG44" i="4"/>
  <c r="CH43" i="4"/>
  <c r="CG43" i="4"/>
  <c r="CH42" i="4"/>
  <c r="CG42" i="4"/>
  <c r="CH41" i="4"/>
  <c r="CG41" i="4"/>
  <c r="CH40" i="4"/>
  <c r="CG40" i="4"/>
  <c r="CH39" i="4"/>
  <c r="CG39" i="4"/>
  <c r="CH38" i="4"/>
  <c r="CG38" i="4"/>
  <c r="CH37" i="4"/>
  <c r="CG37" i="4"/>
  <c r="CH36" i="4"/>
  <c r="CG36" i="4"/>
  <c r="CH35" i="4"/>
  <c r="CG35" i="4"/>
  <c r="CH34" i="4"/>
  <c r="CG34" i="4"/>
  <c r="B74" i="9"/>
  <c r="H4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A44" i="3"/>
  <c r="A79" i="3"/>
  <c r="A110" i="3"/>
  <c r="A139" i="3"/>
  <c r="G35" i="3"/>
  <c r="G70" i="3"/>
  <c r="G101" i="3"/>
  <c r="G130" i="3"/>
  <c r="AX58" i="4"/>
  <c r="AX54" i="4"/>
  <c r="AX51" i="4"/>
  <c r="AX50" i="4"/>
  <c r="BZ51" i="4"/>
  <c r="BZ50" i="4"/>
  <c r="BZ46" i="4"/>
  <c r="BZ43" i="4"/>
  <c r="BZ38" i="4"/>
  <c r="BZ35" i="4"/>
  <c r="BS46" i="4"/>
  <c r="AC58" i="4"/>
  <c r="AC55" i="4"/>
  <c r="AC50" i="4"/>
  <c r="AC47" i="4"/>
  <c r="AC45" i="4"/>
  <c r="AC42" i="4"/>
  <c r="AC39" i="4"/>
  <c r="V58" i="4"/>
  <c r="Z32" i="2"/>
  <c r="V55" i="4"/>
  <c r="Z29" i="2"/>
  <c r="V52" i="4"/>
  <c r="Z26" i="2"/>
  <c r="V50" i="4"/>
  <c r="Z24" i="2"/>
  <c r="V44" i="4"/>
  <c r="Z18" i="2"/>
  <c r="V42" i="4"/>
  <c r="Z16" i="2"/>
  <c r="V39" i="4"/>
  <c r="Z13" i="2"/>
  <c r="V36" i="4"/>
  <c r="Z10" i="2"/>
  <c r="F9" i="8"/>
  <c r="O58" i="4"/>
  <c r="T32" i="2"/>
  <c r="E31" i="8"/>
  <c r="O55" i="4"/>
  <c r="T29" i="2"/>
  <c r="E28" i="8"/>
  <c r="O53" i="4"/>
  <c r="T27" i="2"/>
  <c r="E26" i="8"/>
  <c r="O52" i="4"/>
  <c r="T26" i="2"/>
  <c r="E25" i="8"/>
  <c r="O50" i="4"/>
  <c r="T24" i="2"/>
  <c r="E23" i="8"/>
  <c r="O47" i="4"/>
  <c r="T21" i="2"/>
  <c r="E20" i="8"/>
  <c r="O45" i="4"/>
  <c r="T19" i="2"/>
  <c r="E18" i="8"/>
  <c r="O40" i="4"/>
  <c r="T14" i="2"/>
  <c r="E13" i="8"/>
  <c r="O39" i="4"/>
  <c r="T13" i="2"/>
  <c r="E12" i="8"/>
  <c r="O37" i="4"/>
  <c r="T11" i="2"/>
  <c r="E10" i="8"/>
  <c r="O36" i="4"/>
  <c r="T10" i="2"/>
  <c r="E9" i="8"/>
  <c r="H58" i="4"/>
  <c r="N32" i="2"/>
  <c r="D31" i="8"/>
  <c r="H52" i="4"/>
  <c r="N26" i="2"/>
  <c r="D25" i="8"/>
  <c r="H50" i="4"/>
  <c r="N24" i="2"/>
  <c r="D23" i="8"/>
  <c r="H44" i="4"/>
  <c r="N18" i="2"/>
  <c r="D17" i="8"/>
  <c r="H42" i="4"/>
  <c r="N16" i="2"/>
  <c r="D15" i="8"/>
  <c r="H36" i="4"/>
  <c r="N10" i="2"/>
  <c r="D9" i="8"/>
  <c r="CA58" i="4"/>
  <c r="CA53" i="4"/>
  <c r="CA49" i="4"/>
  <c r="CA47" i="4"/>
  <c r="CA43" i="4"/>
  <c r="CA37" i="4"/>
  <c r="BT36" i="4"/>
  <c r="BT57" i="4"/>
  <c r="BT53" i="4"/>
  <c r="BT48" i="4"/>
  <c r="BT47" i="4"/>
  <c r="BT43" i="4"/>
  <c r="BT41" i="4"/>
  <c r="BT37" i="4"/>
  <c r="BT35" i="4"/>
  <c r="BF53" i="4"/>
  <c r="BF49" i="4"/>
  <c r="BF37" i="4"/>
  <c r="BF35" i="4"/>
  <c r="BL33" i="4"/>
  <c r="BF57" i="4"/>
  <c r="BF51" i="4"/>
  <c r="BF47" i="4"/>
  <c r="BF41" i="4"/>
  <c r="BD32" i="2"/>
  <c r="BD28" i="2"/>
  <c r="BD22" i="2"/>
  <c r="BD18" i="2"/>
  <c r="BD16" i="2"/>
  <c r="BD12" i="2"/>
  <c r="BD11" i="2"/>
  <c r="AY58" i="4"/>
  <c r="AY46" i="4"/>
  <c r="AY42" i="4"/>
  <c r="AY36" i="4"/>
  <c r="AR57" i="4"/>
  <c r="AR53" i="4"/>
  <c r="AR49" i="4"/>
  <c r="AR48" i="4"/>
  <c r="AR45" i="4"/>
  <c r="AR41" i="4"/>
  <c r="AR37" i="4"/>
  <c r="AK56" i="4"/>
  <c r="AK52" i="4"/>
  <c r="AK48" i="4"/>
  <c r="AK44" i="4"/>
  <c r="AK40" i="4"/>
  <c r="AK36" i="4"/>
  <c r="AD57" i="4"/>
  <c r="AD56" i="4"/>
  <c r="AD53" i="4"/>
  <c r="AD52" i="4"/>
  <c r="AD49" i="4"/>
  <c r="AD48" i="4"/>
  <c r="AD45" i="4"/>
  <c r="AD44" i="4"/>
  <c r="AD41" i="4"/>
  <c r="AD40" i="4"/>
  <c r="AD37" i="4"/>
  <c r="AD36" i="4"/>
  <c r="W56" i="4"/>
  <c r="W52" i="4"/>
  <c r="W48" i="4"/>
  <c r="W44" i="4"/>
  <c r="W40" i="4"/>
  <c r="W36" i="4"/>
  <c r="I58" i="4"/>
  <c r="I54" i="4"/>
  <c r="I50" i="4"/>
  <c r="I46" i="4"/>
  <c r="I42" i="4"/>
  <c r="I38" i="4"/>
  <c r="AQ33" i="4"/>
  <c r="AJ33" i="4"/>
  <c r="AC33" i="4"/>
  <c r="V33" i="4"/>
  <c r="O33" i="4"/>
  <c r="H33" i="4"/>
  <c r="A33" i="4"/>
  <c r="BZ33" i="4"/>
  <c r="BS33" i="4"/>
  <c r="BE33" i="4"/>
  <c r="AX33" i="4"/>
  <c r="BZ58" i="4"/>
  <c r="CA57" i="4"/>
  <c r="BZ57" i="4"/>
  <c r="CA56" i="4"/>
  <c r="BZ56" i="4"/>
  <c r="CA55" i="4"/>
  <c r="BZ55" i="4"/>
  <c r="CA54" i="4"/>
  <c r="BZ54" i="4"/>
  <c r="BZ53" i="4"/>
  <c r="CA52" i="4"/>
  <c r="BZ52" i="4"/>
  <c r="CA51" i="4"/>
  <c r="CA50" i="4"/>
  <c r="BZ49" i="4"/>
  <c r="CA48" i="4"/>
  <c r="BZ48" i="4"/>
  <c r="BZ47" i="4"/>
  <c r="CA46" i="4"/>
  <c r="CA45" i="4"/>
  <c r="BZ45" i="4"/>
  <c r="CA44" i="4"/>
  <c r="BZ44" i="4"/>
  <c r="CA42" i="4"/>
  <c r="BZ42" i="4"/>
  <c r="CA41" i="4"/>
  <c r="BZ41" i="4"/>
  <c r="CA40" i="4"/>
  <c r="BZ40" i="4"/>
  <c r="CA39" i="4"/>
  <c r="BZ39" i="4"/>
  <c r="CA38" i="4"/>
  <c r="BZ37" i="4"/>
  <c r="CA36" i="4"/>
  <c r="BZ36" i="4"/>
  <c r="CA35" i="4"/>
  <c r="BF58" i="4"/>
  <c r="BF56" i="4"/>
  <c r="BD30" i="2"/>
  <c r="BF55" i="4"/>
  <c r="BD29" i="2"/>
  <c r="BF54" i="4"/>
  <c r="BF52" i="4"/>
  <c r="BD25" i="2"/>
  <c r="BF50" i="4"/>
  <c r="BD23" i="2"/>
  <c r="BF48" i="4"/>
  <c r="BF46" i="4"/>
  <c r="BF45" i="4"/>
  <c r="BD19" i="2"/>
  <c r="BF44" i="4"/>
  <c r="BF43" i="4"/>
  <c r="BF42" i="4"/>
  <c r="BF40" i="4"/>
  <c r="BD14" i="2"/>
  <c r="BF39" i="4"/>
  <c r="BD13" i="2"/>
  <c r="BF38" i="4"/>
  <c r="BF36" i="4"/>
  <c r="AR58" i="4"/>
  <c r="AR56" i="4"/>
  <c r="AR55" i="4"/>
  <c r="AR54" i="4"/>
  <c r="AR52" i="4"/>
  <c r="AR51" i="4"/>
  <c r="AR50" i="4"/>
  <c r="AR47" i="4"/>
  <c r="AR46" i="4"/>
  <c r="AR44" i="4"/>
  <c r="AR43" i="4"/>
  <c r="AR42" i="4"/>
  <c r="AR40" i="4"/>
  <c r="AR39" i="4"/>
  <c r="AR38" i="4"/>
  <c r="AR36" i="4"/>
  <c r="AR35" i="4"/>
  <c r="AD58" i="4"/>
  <c r="AC57" i="4"/>
  <c r="AC56" i="4"/>
  <c r="AD55" i="4"/>
  <c r="AD54" i="4"/>
  <c r="AC54" i="4"/>
  <c r="AC53" i="4"/>
  <c r="AC52" i="4"/>
  <c r="AD51" i="4"/>
  <c r="AC51" i="4"/>
  <c r="AD50" i="4"/>
  <c r="AC49" i="4"/>
  <c r="AC48" i="4"/>
  <c r="AD47" i="4"/>
  <c r="AD46" i="4"/>
  <c r="AC46" i="4"/>
  <c r="AC44" i="4"/>
  <c r="AD43" i="4"/>
  <c r="AC43" i="4"/>
  <c r="AD42" i="4"/>
  <c r="AC41" i="4"/>
  <c r="AC40" i="4"/>
  <c r="AD39" i="4"/>
  <c r="AD38" i="4"/>
  <c r="AC38" i="4"/>
  <c r="AC37" i="4"/>
  <c r="AC36" i="4"/>
  <c r="AD35" i="4"/>
  <c r="AC35" i="4"/>
  <c r="CA34" i="4"/>
  <c r="BZ34" i="4"/>
  <c r="BT58" i="4"/>
  <c r="BS58" i="4"/>
  <c r="BS57" i="4"/>
  <c r="BT56" i="4"/>
  <c r="BS56" i="4"/>
  <c r="BT55" i="4"/>
  <c r="BS55" i="4"/>
  <c r="BT54" i="4"/>
  <c r="BS54" i="4"/>
  <c r="BS53" i="4"/>
  <c r="BT52" i="4"/>
  <c r="BS52" i="4"/>
  <c r="BT51" i="4"/>
  <c r="BS51" i="4"/>
  <c r="BT50" i="4"/>
  <c r="BS50" i="4"/>
  <c r="BT49" i="4"/>
  <c r="BS49" i="4"/>
  <c r="BS48" i="4"/>
  <c r="BS47" i="4"/>
  <c r="BT46" i="4"/>
  <c r="BT45" i="4"/>
  <c r="BS45" i="4"/>
  <c r="BT44" i="4"/>
  <c r="BS44" i="4"/>
  <c r="BS43" i="4"/>
  <c r="BT42" i="4"/>
  <c r="BS42" i="4"/>
  <c r="BS41" i="4"/>
  <c r="BT40" i="4"/>
  <c r="BS40" i="4"/>
  <c r="BT39" i="4"/>
  <c r="BS39" i="4"/>
  <c r="BT38" i="4"/>
  <c r="BS38" i="4"/>
  <c r="BS37" i="4"/>
  <c r="BS36" i="4"/>
  <c r="BS35" i="4"/>
  <c r="BT34" i="4"/>
  <c r="BS34" i="4"/>
  <c r="BM58" i="4"/>
  <c r="BL58" i="4"/>
  <c r="BM57" i="4"/>
  <c r="BL57" i="4"/>
  <c r="BM56" i="4"/>
  <c r="BL56" i="4"/>
  <c r="BM55" i="4"/>
  <c r="BL55" i="4"/>
  <c r="BM54" i="4"/>
  <c r="BL54" i="4"/>
  <c r="BM53" i="4"/>
  <c r="BL53" i="4"/>
  <c r="BM52" i="4"/>
  <c r="BL52" i="4"/>
  <c r="BM51" i="4"/>
  <c r="BL51" i="4"/>
  <c r="BM50" i="4"/>
  <c r="BL50" i="4"/>
  <c r="BM49" i="4"/>
  <c r="BL49" i="4"/>
  <c r="BM48" i="4"/>
  <c r="BL48" i="4"/>
  <c r="BM47" i="4"/>
  <c r="BL47" i="4"/>
  <c r="BM46" i="4"/>
  <c r="BL46" i="4"/>
  <c r="BM45" i="4"/>
  <c r="BL45" i="4"/>
  <c r="BM44" i="4"/>
  <c r="BL44" i="4"/>
  <c r="BM43" i="4"/>
  <c r="BL43" i="4"/>
  <c r="BM42" i="4"/>
  <c r="BL42" i="4"/>
  <c r="BM41" i="4"/>
  <c r="BL41" i="4"/>
  <c r="BM40" i="4"/>
  <c r="BL40" i="4"/>
  <c r="BM39" i="4"/>
  <c r="BL39" i="4"/>
  <c r="BM38" i="4"/>
  <c r="BL38" i="4"/>
  <c r="BM37" i="4"/>
  <c r="BL37" i="4"/>
  <c r="BM36" i="4"/>
  <c r="BL36" i="4"/>
  <c r="BM35" i="4"/>
  <c r="BL35" i="4"/>
  <c r="BM34" i="4"/>
  <c r="BL34" i="4"/>
  <c r="BF34" i="4"/>
  <c r="BE34" i="4"/>
  <c r="AY57" i="4"/>
  <c r="AX57" i="4"/>
  <c r="AY56" i="4"/>
  <c r="AX56" i="4"/>
  <c r="AY55" i="4"/>
  <c r="AX55" i="4"/>
  <c r="AY54" i="4"/>
  <c r="AY53" i="4"/>
  <c r="AX53" i="4"/>
  <c r="AY52" i="4"/>
  <c r="AX52" i="4"/>
  <c r="AY51" i="4"/>
  <c r="AY50" i="4"/>
  <c r="AY49" i="4"/>
  <c r="AX49" i="4"/>
  <c r="AY48" i="4"/>
  <c r="AX48" i="4"/>
  <c r="AY47" i="4"/>
  <c r="AX47" i="4"/>
  <c r="AX46" i="4"/>
  <c r="AY45" i="4"/>
  <c r="AX45" i="4"/>
  <c r="AY44" i="4"/>
  <c r="AX44" i="4"/>
  <c r="AY43" i="4"/>
  <c r="AX43" i="4"/>
  <c r="AX42" i="4"/>
  <c r="AY41" i="4"/>
  <c r="AX41" i="4"/>
  <c r="AY40" i="4"/>
  <c r="AX40" i="4"/>
  <c r="AY39" i="4"/>
  <c r="AX39" i="4"/>
  <c r="AY38" i="4"/>
  <c r="AX38" i="4"/>
  <c r="AY37" i="4"/>
  <c r="AX37" i="4"/>
  <c r="AX36" i="4"/>
  <c r="AY35" i="4"/>
  <c r="AX35" i="4"/>
  <c r="AY34" i="4"/>
  <c r="AX34" i="4"/>
  <c r="AR34" i="4"/>
  <c r="AQ34" i="4"/>
  <c r="AK58" i="4"/>
  <c r="AK57" i="4"/>
  <c r="AK55" i="4"/>
  <c r="AK54" i="4"/>
  <c r="AK53" i="4"/>
  <c r="AK51" i="4"/>
  <c r="AK50" i="4"/>
  <c r="AK49" i="4"/>
  <c r="AK47" i="4"/>
  <c r="AK46" i="4"/>
  <c r="AK45" i="4"/>
  <c r="AK43" i="4"/>
  <c r="AK42" i="4"/>
  <c r="AK41" i="4"/>
  <c r="AK39" i="4"/>
  <c r="AK38" i="4"/>
  <c r="AK37" i="4"/>
  <c r="AK35" i="4"/>
  <c r="J33" i="8"/>
  <c r="J6" i="8"/>
  <c r="I13" i="9"/>
  <c r="AK34" i="4"/>
  <c r="AJ34" i="4"/>
  <c r="AD34" i="4"/>
  <c r="AC34" i="4"/>
  <c r="W58" i="4"/>
  <c r="W57" i="4"/>
  <c r="V57" i="4"/>
  <c r="Z31" i="2"/>
  <c r="V56" i="4"/>
  <c r="Z30" i="2"/>
  <c r="F29" i="8"/>
  <c r="W55" i="4"/>
  <c r="W54" i="4"/>
  <c r="V54" i="4"/>
  <c r="Z28" i="2"/>
  <c r="W53" i="4"/>
  <c r="V53" i="4"/>
  <c r="Z27" i="2"/>
  <c r="W51" i="4"/>
  <c r="V51" i="4"/>
  <c r="Z25" i="2"/>
  <c r="W50" i="4"/>
  <c r="W49" i="4"/>
  <c r="V49" i="4"/>
  <c r="Z23" i="2"/>
  <c r="F22" i="8"/>
  <c r="V48" i="4"/>
  <c r="Z22" i="2"/>
  <c r="W47" i="4"/>
  <c r="V47" i="4"/>
  <c r="Z21" i="2"/>
  <c r="W46" i="4"/>
  <c r="V46" i="4"/>
  <c r="Z20" i="2"/>
  <c r="W45" i="4"/>
  <c r="V45" i="4"/>
  <c r="Z19" i="2"/>
  <c r="W43" i="4"/>
  <c r="V43" i="4"/>
  <c r="Z17" i="2"/>
  <c r="W42" i="4"/>
  <c r="W41" i="4"/>
  <c r="V41" i="4"/>
  <c r="Z15" i="2"/>
  <c r="V40" i="4"/>
  <c r="Z14" i="2"/>
  <c r="W39" i="4"/>
  <c r="W38" i="4"/>
  <c r="V38" i="4"/>
  <c r="Z12" i="2"/>
  <c r="F11" i="8"/>
  <c r="W37" i="4"/>
  <c r="V37" i="4"/>
  <c r="Z11" i="2"/>
  <c r="W35" i="4"/>
  <c r="V35" i="4"/>
  <c r="Z9" i="2"/>
  <c r="W34" i="4"/>
  <c r="V34" i="4"/>
  <c r="P58" i="4"/>
  <c r="P57" i="4"/>
  <c r="O57" i="4"/>
  <c r="T31" i="2"/>
  <c r="E30" i="8"/>
  <c r="P56" i="4"/>
  <c r="O56" i="4"/>
  <c r="T30" i="2"/>
  <c r="E29" i="8"/>
  <c r="P55" i="4"/>
  <c r="P54" i="4"/>
  <c r="O54" i="4"/>
  <c r="T28" i="2"/>
  <c r="E27" i="8"/>
  <c r="P53" i="4"/>
  <c r="P52" i="4"/>
  <c r="P51" i="4"/>
  <c r="O51" i="4"/>
  <c r="T25" i="2"/>
  <c r="E24" i="8"/>
  <c r="P50" i="4"/>
  <c r="P49" i="4"/>
  <c r="O49" i="4"/>
  <c r="T23" i="2"/>
  <c r="E22" i="8"/>
  <c r="P48" i="4"/>
  <c r="O48" i="4"/>
  <c r="T22" i="2"/>
  <c r="E21" i="8"/>
  <c r="P47" i="4"/>
  <c r="P46" i="4"/>
  <c r="O46" i="4"/>
  <c r="T20" i="2"/>
  <c r="E19" i="8"/>
  <c r="P45" i="4"/>
  <c r="P44" i="4"/>
  <c r="O44" i="4"/>
  <c r="T18" i="2"/>
  <c r="E17" i="8"/>
  <c r="P43" i="4"/>
  <c r="O43" i="4"/>
  <c r="T17" i="2"/>
  <c r="E16" i="8"/>
  <c r="P42" i="4"/>
  <c r="O42" i="4"/>
  <c r="T16" i="2"/>
  <c r="E15" i="8"/>
  <c r="P41" i="4"/>
  <c r="O41" i="4"/>
  <c r="T15" i="2"/>
  <c r="E14" i="8"/>
  <c r="P40" i="4"/>
  <c r="P39" i="4"/>
  <c r="P38" i="4"/>
  <c r="O38" i="4"/>
  <c r="T12" i="2"/>
  <c r="E11" i="8"/>
  <c r="P37" i="4"/>
  <c r="P36" i="4"/>
  <c r="P35" i="4"/>
  <c r="O35" i="4"/>
  <c r="T9" i="2"/>
  <c r="E8" i="8"/>
  <c r="P34" i="4"/>
  <c r="O34" i="4"/>
  <c r="I57" i="4"/>
  <c r="H57" i="4"/>
  <c r="N31" i="2"/>
  <c r="D30" i="8"/>
  <c r="I56" i="4"/>
  <c r="H56" i="4"/>
  <c r="N30" i="2"/>
  <c r="D29" i="8"/>
  <c r="I55" i="4"/>
  <c r="H55" i="4"/>
  <c r="N29" i="2"/>
  <c r="D28" i="8"/>
  <c r="H54" i="4"/>
  <c r="N28" i="2"/>
  <c r="D27" i="8"/>
  <c r="I53" i="4"/>
  <c r="H53" i="4"/>
  <c r="N27" i="2"/>
  <c r="D26" i="8"/>
  <c r="I52" i="4"/>
  <c r="I51" i="4"/>
  <c r="H51" i="4"/>
  <c r="N25" i="2"/>
  <c r="D24" i="8"/>
  <c r="I49" i="4"/>
  <c r="H49" i="4"/>
  <c r="N23" i="2"/>
  <c r="D22" i="8"/>
  <c r="I48" i="4"/>
  <c r="H48" i="4"/>
  <c r="N22" i="2"/>
  <c r="D21" i="8"/>
  <c r="I47" i="4"/>
  <c r="H47" i="4"/>
  <c r="N21" i="2"/>
  <c r="D20" i="8"/>
  <c r="H46" i="4"/>
  <c r="N20" i="2"/>
  <c r="D19" i="8"/>
  <c r="I45" i="4"/>
  <c r="H45" i="4"/>
  <c r="N19" i="2"/>
  <c r="D18" i="8"/>
  <c r="I44" i="4"/>
  <c r="I43" i="4"/>
  <c r="H43" i="4"/>
  <c r="N17" i="2"/>
  <c r="D16" i="8"/>
  <c r="I41" i="4"/>
  <c r="H41" i="4"/>
  <c r="N15" i="2"/>
  <c r="D14" i="8"/>
  <c r="I40" i="4"/>
  <c r="H40" i="4"/>
  <c r="N14" i="2"/>
  <c r="D13" i="8"/>
  <c r="I39" i="4"/>
  <c r="H39" i="4"/>
  <c r="N13" i="2"/>
  <c r="D12" i="8"/>
  <c r="H38" i="4"/>
  <c r="N12" i="2"/>
  <c r="D11" i="8"/>
  <c r="I37" i="4"/>
  <c r="H37" i="4"/>
  <c r="N11" i="2"/>
  <c r="D10" i="8"/>
  <c r="I36" i="4"/>
  <c r="I35" i="4"/>
  <c r="H35" i="4"/>
  <c r="N9" i="2"/>
  <c r="D8" i="8"/>
  <c r="I34" i="4"/>
  <c r="H34" i="4"/>
  <c r="G19" i="5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35" i="4"/>
  <c r="A58" i="4"/>
  <c r="A57" i="4"/>
  <c r="A56" i="4"/>
  <c r="A55" i="4"/>
  <c r="A54" i="4"/>
  <c r="A53" i="4"/>
  <c r="C26" i="8"/>
  <c r="A52" i="4"/>
  <c r="A51" i="4"/>
  <c r="A50" i="4"/>
  <c r="A49" i="4"/>
  <c r="C22" i="8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B35" i="3"/>
  <c r="B70" i="3"/>
  <c r="B50" i="3"/>
  <c r="B36" i="3"/>
  <c r="C35" i="3"/>
  <c r="C70" i="3"/>
  <c r="C36" i="3"/>
  <c r="D35" i="3"/>
  <c r="D70" i="3"/>
  <c r="D36" i="3"/>
  <c r="E35" i="3"/>
  <c r="E70" i="3"/>
  <c r="E36" i="3"/>
  <c r="F35" i="3"/>
  <c r="F70" i="3"/>
  <c r="F40" i="3"/>
  <c r="F36" i="3"/>
  <c r="G56" i="3"/>
  <c r="G36" i="3"/>
  <c r="H35" i="3"/>
  <c r="H70" i="3"/>
  <c r="H36" i="3"/>
  <c r="I35" i="3"/>
  <c r="I70" i="3"/>
  <c r="I36" i="3"/>
  <c r="J35" i="3"/>
  <c r="J70" i="3"/>
  <c r="J36" i="3"/>
  <c r="K35" i="3"/>
  <c r="K70" i="3"/>
  <c r="K36" i="3"/>
  <c r="L35" i="3"/>
  <c r="L70" i="3"/>
  <c r="L36" i="3"/>
  <c r="M35" i="3"/>
  <c r="M70" i="3"/>
  <c r="M36" i="3"/>
  <c r="B37" i="3"/>
  <c r="C37" i="3"/>
  <c r="D37" i="3"/>
  <c r="E37" i="3"/>
  <c r="F37" i="3"/>
  <c r="G37" i="3"/>
  <c r="H37" i="3"/>
  <c r="I37" i="3"/>
  <c r="J37" i="3"/>
  <c r="K37" i="3"/>
  <c r="L37" i="3"/>
  <c r="M37" i="3"/>
  <c r="B38" i="3"/>
  <c r="C38" i="3"/>
  <c r="D38" i="3"/>
  <c r="E38" i="3"/>
  <c r="F38" i="3"/>
  <c r="G38" i="3"/>
  <c r="H38" i="3"/>
  <c r="I38" i="3"/>
  <c r="J38" i="3"/>
  <c r="K38" i="3"/>
  <c r="L38" i="3"/>
  <c r="M38" i="3"/>
  <c r="B39" i="3"/>
  <c r="C39" i="3"/>
  <c r="D39" i="3"/>
  <c r="E39" i="3"/>
  <c r="F39" i="3"/>
  <c r="G39" i="3"/>
  <c r="H39" i="3"/>
  <c r="I39" i="3"/>
  <c r="J39" i="3"/>
  <c r="K39" i="3"/>
  <c r="L39" i="3"/>
  <c r="M39" i="3"/>
  <c r="B40" i="3"/>
  <c r="C40" i="3"/>
  <c r="D40" i="3"/>
  <c r="E40" i="3"/>
  <c r="G40" i="3"/>
  <c r="H40" i="3"/>
  <c r="I40" i="3"/>
  <c r="J40" i="3"/>
  <c r="K40" i="3"/>
  <c r="L40" i="3"/>
  <c r="M40" i="3"/>
  <c r="B41" i="3"/>
  <c r="C41" i="3"/>
  <c r="D41" i="3"/>
  <c r="E41" i="3"/>
  <c r="F41" i="3"/>
  <c r="G41" i="3"/>
  <c r="H41" i="3"/>
  <c r="I41" i="3"/>
  <c r="J41" i="3"/>
  <c r="K41" i="3"/>
  <c r="L41" i="3"/>
  <c r="M41" i="3"/>
  <c r="B42" i="3"/>
  <c r="C42" i="3"/>
  <c r="D42" i="3"/>
  <c r="E42" i="3"/>
  <c r="F42" i="3"/>
  <c r="G42" i="3"/>
  <c r="H42" i="3"/>
  <c r="I42" i="3"/>
  <c r="J42" i="3"/>
  <c r="K42" i="3"/>
  <c r="L42" i="3"/>
  <c r="M42" i="3"/>
  <c r="B43" i="3"/>
  <c r="C43" i="3"/>
  <c r="D43" i="3"/>
  <c r="E43" i="3"/>
  <c r="F43" i="3"/>
  <c r="G43" i="3"/>
  <c r="H43" i="3"/>
  <c r="I43" i="3"/>
  <c r="J43" i="3"/>
  <c r="K43" i="3"/>
  <c r="L43" i="3"/>
  <c r="M43" i="3"/>
  <c r="B44" i="3"/>
  <c r="C44" i="3"/>
  <c r="D44" i="3"/>
  <c r="E44" i="3"/>
  <c r="F44" i="3"/>
  <c r="G44" i="3"/>
  <c r="H44" i="3"/>
  <c r="I44" i="3"/>
  <c r="J44" i="3"/>
  <c r="K44" i="3"/>
  <c r="L44" i="3"/>
  <c r="M44" i="3"/>
  <c r="B45" i="3"/>
  <c r="C45" i="3"/>
  <c r="D45" i="3"/>
  <c r="E45" i="3"/>
  <c r="F45" i="3"/>
  <c r="G45" i="3"/>
  <c r="H45" i="3"/>
  <c r="I45" i="3"/>
  <c r="J45" i="3"/>
  <c r="K45" i="3"/>
  <c r="L45" i="3"/>
  <c r="M45" i="3"/>
  <c r="B46" i="3"/>
  <c r="C46" i="3"/>
  <c r="D46" i="3"/>
  <c r="E46" i="3"/>
  <c r="F46" i="3"/>
  <c r="G46" i="3"/>
  <c r="H46" i="3"/>
  <c r="I46" i="3"/>
  <c r="J46" i="3"/>
  <c r="K46" i="3"/>
  <c r="L46" i="3"/>
  <c r="M46" i="3"/>
  <c r="B47" i="3"/>
  <c r="C47" i="3"/>
  <c r="D47" i="3"/>
  <c r="E47" i="3"/>
  <c r="F47" i="3"/>
  <c r="G47" i="3"/>
  <c r="H47" i="3"/>
  <c r="I47" i="3"/>
  <c r="J47" i="3"/>
  <c r="K47" i="3"/>
  <c r="L47" i="3"/>
  <c r="M47" i="3"/>
  <c r="B48" i="3"/>
  <c r="C48" i="3"/>
  <c r="D48" i="3"/>
  <c r="E48" i="3"/>
  <c r="F48" i="3"/>
  <c r="G48" i="3"/>
  <c r="H48" i="3"/>
  <c r="I48" i="3"/>
  <c r="J48" i="3"/>
  <c r="K48" i="3"/>
  <c r="L48" i="3"/>
  <c r="M48" i="3"/>
  <c r="B49" i="3"/>
  <c r="C49" i="3"/>
  <c r="D49" i="3"/>
  <c r="E49" i="3"/>
  <c r="F49" i="3"/>
  <c r="G49" i="3"/>
  <c r="H49" i="3"/>
  <c r="I49" i="3"/>
  <c r="J49" i="3"/>
  <c r="K49" i="3"/>
  <c r="L49" i="3"/>
  <c r="M49" i="3"/>
  <c r="C50" i="3"/>
  <c r="D50" i="3"/>
  <c r="E50" i="3"/>
  <c r="F50" i="3"/>
  <c r="G50" i="3"/>
  <c r="H50" i="3"/>
  <c r="I50" i="3"/>
  <c r="J50" i="3"/>
  <c r="K50" i="3"/>
  <c r="L50" i="3"/>
  <c r="M50" i="3"/>
  <c r="B51" i="3"/>
  <c r="C51" i="3"/>
  <c r="D51" i="3"/>
  <c r="E51" i="3"/>
  <c r="F51" i="3"/>
  <c r="G51" i="3"/>
  <c r="H51" i="3"/>
  <c r="I51" i="3"/>
  <c r="J51" i="3"/>
  <c r="K51" i="3"/>
  <c r="L51" i="3"/>
  <c r="M51" i="3"/>
  <c r="B52" i="3"/>
  <c r="C52" i="3"/>
  <c r="D52" i="3"/>
  <c r="E52" i="3"/>
  <c r="F52" i="3"/>
  <c r="G52" i="3"/>
  <c r="H52" i="3"/>
  <c r="I52" i="3"/>
  <c r="J52" i="3"/>
  <c r="K52" i="3"/>
  <c r="L52" i="3"/>
  <c r="M52" i="3"/>
  <c r="B53" i="3"/>
  <c r="C53" i="3"/>
  <c r="D53" i="3"/>
  <c r="E53" i="3"/>
  <c r="F53" i="3"/>
  <c r="G53" i="3"/>
  <c r="H53" i="3"/>
  <c r="I53" i="3"/>
  <c r="J53" i="3"/>
  <c r="K53" i="3"/>
  <c r="L53" i="3"/>
  <c r="M53" i="3"/>
  <c r="B54" i="3"/>
  <c r="C54" i="3"/>
  <c r="D54" i="3"/>
  <c r="E54" i="3"/>
  <c r="F54" i="3"/>
  <c r="G54" i="3"/>
  <c r="H54" i="3"/>
  <c r="I54" i="3"/>
  <c r="J54" i="3"/>
  <c r="K54" i="3"/>
  <c r="L54" i="3"/>
  <c r="M54" i="3"/>
  <c r="B55" i="3"/>
  <c r="C55" i="3"/>
  <c r="D55" i="3"/>
  <c r="E55" i="3"/>
  <c r="F55" i="3"/>
  <c r="G55" i="3"/>
  <c r="H55" i="3"/>
  <c r="I55" i="3"/>
  <c r="J55" i="3"/>
  <c r="K55" i="3"/>
  <c r="L55" i="3"/>
  <c r="M55" i="3"/>
  <c r="B56" i="3"/>
  <c r="C56" i="3"/>
  <c r="D56" i="3"/>
  <c r="E56" i="3"/>
  <c r="F56" i="3"/>
  <c r="H56" i="3"/>
  <c r="I56" i="3"/>
  <c r="J56" i="3"/>
  <c r="K56" i="3"/>
  <c r="L56" i="3"/>
  <c r="M56" i="3"/>
  <c r="B57" i="3"/>
  <c r="C57" i="3"/>
  <c r="D57" i="3"/>
  <c r="E57" i="3"/>
  <c r="F57" i="3"/>
  <c r="G57" i="3"/>
  <c r="H57" i="3"/>
  <c r="I57" i="3"/>
  <c r="J57" i="3"/>
  <c r="K57" i="3"/>
  <c r="L57" i="3"/>
  <c r="M57" i="3"/>
  <c r="B58" i="3"/>
  <c r="C58" i="3"/>
  <c r="D58" i="3"/>
  <c r="E58" i="3"/>
  <c r="F58" i="3"/>
  <c r="G58" i="3"/>
  <c r="H58" i="3"/>
  <c r="I58" i="3"/>
  <c r="J58" i="3"/>
  <c r="K58" i="3"/>
  <c r="L58" i="3"/>
  <c r="M58" i="3"/>
  <c r="B59" i="3"/>
  <c r="C59" i="3"/>
  <c r="D59" i="3"/>
  <c r="E59" i="3"/>
  <c r="F59" i="3"/>
  <c r="G59" i="3"/>
  <c r="H59" i="3"/>
  <c r="I59" i="3"/>
  <c r="J59" i="3"/>
  <c r="K59" i="3"/>
  <c r="L59" i="3"/>
  <c r="M59" i="3"/>
  <c r="B34" i="4"/>
  <c r="N35" i="3"/>
  <c r="N70" i="3"/>
  <c r="N101" i="3"/>
  <c r="N130" i="3"/>
  <c r="K101" i="3"/>
  <c r="K130" i="3"/>
  <c r="J101" i="3"/>
  <c r="J130" i="3"/>
  <c r="B101" i="3"/>
  <c r="B130" i="3"/>
  <c r="A59" i="3"/>
  <c r="A94" i="3"/>
  <c r="A125" i="3"/>
  <c r="A154" i="3"/>
  <c r="A58" i="3"/>
  <c r="A93" i="3"/>
  <c r="A124" i="3"/>
  <c r="A153" i="3"/>
  <c r="A57" i="3"/>
  <c r="A92" i="3"/>
  <c r="A123" i="3"/>
  <c r="A152" i="3"/>
  <c r="A56" i="3"/>
  <c r="A91" i="3"/>
  <c r="A122" i="3"/>
  <c r="A151" i="3"/>
  <c r="A55" i="3"/>
  <c r="A90" i="3"/>
  <c r="A121" i="3"/>
  <c r="A150" i="3"/>
  <c r="A54" i="3"/>
  <c r="A89" i="3"/>
  <c r="A120" i="3"/>
  <c r="A149" i="3"/>
  <c r="A53" i="3"/>
  <c r="A88" i="3"/>
  <c r="A119" i="3"/>
  <c r="A148" i="3"/>
  <c r="A52" i="3"/>
  <c r="A87" i="3"/>
  <c r="A118" i="3"/>
  <c r="A147" i="3"/>
  <c r="A51" i="3"/>
  <c r="A86" i="3"/>
  <c r="A117" i="3"/>
  <c r="A146" i="3"/>
  <c r="A50" i="3"/>
  <c r="A85" i="3"/>
  <c r="A116" i="3"/>
  <c r="A145" i="3"/>
  <c r="A49" i="3"/>
  <c r="A84" i="3"/>
  <c r="A115" i="3"/>
  <c r="A144" i="3"/>
  <c r="A48" i="3"/>
  <c r="A83" i="3"/>
  <c r="A114" i="3"/>
  <c r="A143" i="3"/>
  <c r="A47" i="3"/>
  <c r="A82" i="3"/>
  <c r="A113" i="3"/>
  <c r="A142" i="3"/>
  <c r="A46" i="3"/>
  <c r="A81" i="3"/>
  <c r="A112" i="3"/>
  <c r="A141" i="3"/>
  <c r="A45" i="3"/>
  <c r="A80" i="3"/>
  <c r="A111" i="3"/>
  <c r="A140" i="3"/>
  <c r="A43" i="3"/>
  <c r="A78" i="3"/>
  <c r="A109" i="3"/>
  <c r="A138" i="3"/>
  <c r="A42" i="3"/>
  <c r="A77" i="3"/>
  <c r="A108" i="3"/>
  <c r="A137" i="3"/>
  <c r="A41" i="3"/>
  <c r="A76" i="3"/>
  <c r="A107" i="3"/>
  <c r="A136" i="3"/>
  <c r="A40" i="3"/>
  <c r="A75" i="3"/>
  <c r="A106" i="3"/>
  <c r="A135" i="3"/>
  <c r="A39" i="3"/>
  <c r="A74" i="3"/>
  <c r="A105" i="3"/>
  <c r="A134" i="3"/>
  <c r="A38" i="3"/>
  <c r="A73" i="3"/>
  <c r="A104" i="3"/>
  <c r="A133" i="3"/>
  <c r="A37" i="3"/>
  <c r="A72" i="3"/>
  <c r="A103" i="3"/>
  <c r="A132" i="3"/>
  <c r="A36" i="3"/>
  <c r="A71" i="3"/>
  <c r="A102" i="3"/>
  <c r="A131" i="3"/>
  <c r="A35" i="3"/>
  <c r="A70" i="3"/>
  <c r="A101" i="3"/>
  <c r="A130" i="3"/>
  <c r="C21" i="2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C67" i="1"/>
  <c r="C66" i="1"/>
  <c r="C65" i="1"/>
  <c r="AN65" i="1"/>
  <c r="AM65" i="1"/>
  <c r="BL65" i="1"/>
  <c r="D65" i="1"/>
  <c r="CO65" i="1"/>
  <c r="C64" i="1"/>
  <c r="AN64" i="1"/>
  <c r="AM64" i="1"/>
  <c r="BL64" i="1"/>
  <c r="D64" i="1"/>
  <c r="CO64" i="1"/>
  <c r="C63" i="1"/>
  <c r="C62" i="1"/>
  <c r="C61" i="1"/>
  <c r="C60" i="1"/>
  <c r="AN60" i="1"/>
  <c r="AM60" i="1"/>
  <c r="AZ60" i="1"/>
  <c r="D60" i="1"/>
  <c r="CC60" i="1"/>
  <c r="C59" i="1"/>
  <c r="C58" i="1"/>
  <c r="C57" i="1"/>
  <c r="AN57" i="1"/>
  <c r="AM57" i="1"/>
  <c r="BA57" i="1"/>
  <c r="D57" i="1"/>
  <c r="CD57" i="1"/>
  <c r="C56" i="1"/>
  <c r="C55" i="1"/>
  <c r="C54" i="1"/>
  <c r="AN54" i="1"/>
  <c r="AM54" i="1"/>
  <c r="BG54" i="1"/>
  <c r="D54" i="1"/>
  <c r="CJ54" i="1"/>
  <c r="C53" i="1"/>
  <c r="AN53" i="1"/>
  <c r="AM53" i="1"/>
  <c r="BC53" i="1"/>
  <c r="D53" i="1"/>
  <c r="CF53" i="1"/>
  <c r="C52" i="1"/>
  <c r="AN52" i="1"/>
  <c r="AM52" i="1"/>
  <c r="AR52" i="1"/>
  <c r="D52" i="1"/>
  <c r="BU52" i="1"/>
  <c r="C51" i="1"/>
  <c r="C50" i="1"/>
  <c r="C49" i="1"/>
  <c r="C48" i="1"/>
  <c r="C47" i="1"/>
  <c r="AN47" i="1"/>
  <c r="AM47" i="1"/>
  <c r="AX47" i="1"/>
  <c r="D47" i="1"/>
  <c r="CA47" i="1"/>
  <c r="C46" i="1"/>
  <c r="C45" i="1"/>
  <c r="C44" i="1"/>
  <c r="AN44" i="1"/>
  <c r="AM44" i="1"/>
  <c r="AS44" i="1"/>
  <c r="D44" i="1"/>
  <c r="BV44" i="1"/>
  <c r="C43" i="1"/>
  <c r="C42" i="1"/>
  <c r="C41" i="1"/>
  <c r="C40" i="1"/>
  <c r="C39" i="1"/>
  <c r="AN39" i="1"/>
  <c r="AM39" i="1"/>
  <c r="BC39" i="1"/>
  <c r="D39" i="1"/>
  <c r="CF39" i="1"/>
  <c r="C38" i="1"/>
  <c r="AN38" i="1"/>
  <c r="AM38" i="1"/>
  <c r="BA38" i="1"/>
  <c r="D38" i="1"/>
  <c r="CD38" i="1"/>
  <c r="C37" i="1"/>
  <c r="AN37" i="1"/>
  <c r="AM37" i="1"/>
  <c r="BJ37" i="1"/>
  <c r="D37" i="1"/>
  <c r="CM37" i="1"/>
  <c r="C36" i="1"/>
  <c r="AN36" i="1"/>
  <c r="AM36" i="1"/>
  <c r="BN36" i="1"/>
  <c r="D36" i="1"/>
  <c r="CQ36" i="1"/>
  <c r="C35" i="1"/>
  <c r="AN35" i="1"/>
  <c r="AM35" i="1"/>
  <c r="BO35" i="1"/>
  <c r="D35" i="1"/>
  <c r="CR35" i="1"/>
  <c r="C34" i="1"/>
  <c r="C33" i="1"/>
  <c r="AN33" i="1"/>
  <c r="AM33" i="1"/>
  <c r="BL33" i="1"/>
  <c r="D33" i="1"/>
  <c r="CO33" i="1"/>
  <c r="C32" i="1"/>
  <c r="C31" i="1"/>
  <c r="C30" i="1"/>
  <c r="C29" i="1"/>
  <c r="AN29" i="1"/>
  <c r="AM29" i="1"/>
  <c r="AU29" i="1"/>
  <c r="D29" i="1"/>
  <c r="BX29" i="1"/>
  <c r="C28" i="1"/>
  <c r="C27" i="1"/>
  <c r="C26" i="1"/>
  <c r="C25" i="1"/>
  <c r="AN25" i="1"/>
  <c r="AM25" i="1"/>
  <c r="AT25" i="1"/>
  <c r="D25" i="1"/>
  <c r="BW25" i="1"/>
  <c r="C24" i="1"/>
  <c r="AN24" i="1"/>
  <c r="AM24" i="1"/>
  <c r="BH24" i="1"/>
  <c r="D24" i="1"/>
  <c r="CK24" i="1"/>
  <c r="C23" i="1"/>
  <c r="C19" i="1"/>
  <c r="C20" i="1"/>
  <c r="AN20" i="1"/>
  <c r="AM20" i="1"/>
  <c r="AW20" i="1"/>
  <c r="D20" i="1"/>
  <c r="BZ20" i="1"/>
  <c r="C21" i="1"/>
  <c r="AN21" i="1"/>
  <c r="AM21" i="1"/>
  <c r="BC21" i="1"/>
  <c r="D21" i="1"/>
  <c r="CF21" i="1"/>
  <c r="C22" i="1"/>
  <c r="C18" i="1"/>
  <c r="C17" i="1"/>
  <c r="AN17" i="1"/>
  <c r="AM17" i="1"/>
  <c r="AX17" i="1"/>
  <c r="D17" i="1"/>
  <c r="CA17" i="1"/>
  <c r="C16" i="1"/>
  <c r="C15" i="1"/>
  <c r="AN15" i="1"/>
  <c r="AM15" i="1"/>
  <c r="AY15" i="1"/>
  <c r="D15" i="1"/>
  <c r="CB15" i="1"/>
  <c r="C14" i="1"/>
  <c r="C13" i="1"/>
  <c r="AN13" i="1"/>
  <c r="AM13" i="1"/>
  <c r="AZ13" i="1"/>
  <c r="D13" i="1"/>
  <c r="CC13" i="1"/>
  <c r="C12" i="1"/>
  <c r="C11" i="1"/>
  <c r="C10" i="1"/>
  <c r="C9" i="1"/>
  <c r="AN9" i="1"/>
  <c r="AM9" i="1"/>
  <c r="AU9" i="1"/>
  <c r="D9" i="1"/>
  <c r="BX9" i="1"/>
  <c r="C8" i="1"/>
  <c r="AN8" i="1"/>
  <c r="AM8" i="1"/>
  <c r="AR8" i="1"/>
  <c r="D8" i="1"/>
  <c r="BU8" i="1"/>
  <c r="C7" i="1"/>
  <c r="C6" i="1"/>
  <c r="C5" i="1"/>
  <c r="C4" i="1"/>
  <c r="AN4" i="1"/>
  <c r="AM4" i="1"/>
  <c r="D4" i="1"/>
  <c r="AN5" i="1"/>
  <c r="AM5" i="1"/>
  <c r="D5" i="1"/>
  <c r="AN6" i="1"/>
  <c r="AM6" i="1"/>
  <c r="AO6" i="1"/>
  <c r="D6" i="1"/>
  <c r="AN7" i="1"/>
  <c r="AM7" i="1"/>
  <c r="D7" i="1"/>
  <c r="BM7" i="1"/>
  <c r="DO7" i="1"/>
  <c r="AN10" i="1"/>
  <c r="AM10" i="1"/>
  <c r="AP10" i="1"/>
  <c r="D10" i="1"/>
  <c r="AN11" i="1"/>
  <c r="AM11" i="1"/>
  <c r="D11" i="1"/>
  <c r="AN12" i="1"/>
  <c r="AM12" i="1"/>
  <c r="AP12" i="1"/>
  <c r="D12" i="1"/>
  <c r="AN14" i="1"/>
  <c r="AM14" i="1"/>
  <c r="D14" i="1"/>
  <c r="AP15" i="1"/>
  <c r="AN16" i="1"/>
  <c r="AM16" i="1"/>
  <c r="D16" i="1"/>
  <c r="AP17" i="1"/>
  <c r="AN18" i="1"/>
  <c r="AM18" i="1"/>
  <c r="D18" i="1"/>
  <c r="AN22" i="1"/>
  <c r="AP22" i="1"/>
  <c r="AM22" i="1"/>
  <c r="D22" i="1"/>
  <c r="BE22" i="1"/>
  <c r="DG22" i="1"/>
  <c r="AN19" i="1"/>
  <c r="AM19" i="1"/>
  <c r="AT19" i="1"/>
  <c r="D19" i="1"/>
  <c r="AN23" i="1"/>
  <c r="AM23" i="1"/>
  <c r="D23" i="1"/>
  <c r="AZ25" i="1"/>
  <c r="AN26" i="1"/>
  <c r="AM26" i="1"/>
  <c r="D26" i="1"/>
  <c r="AN27" i="1"/>
  <c r="AM27" i="1"/>
  <c r="AY27" i="1"/>
  <c r="D27" i="1"/>
  <c r="DA27" i="1"/>
  <c r="AP27" i="1"/>
  <c r="AN28" i="1"/>
  <c r="AM28" i="1"/>
  <c r="AR28" i="1"/>
  <c r="D28" i="1"/>
  <c r="AN30" i="1"/>
  <c r="AM30" i="1"/>
  <c r="D30" i="1"/>
  <c r="AN31" i="1"/>
  <c r="AM31" i="1"/>
  <c r="AV31" i="1"/>
  <c r="D31" i="1"/>
  <c r="AN32" i="1"/>
  <c r="AM32" i="1"/>
  <c r="D32" i="1"/>
  <c r="AZ32" i="1"/>
  <c r="DB32" i="1"/>
  <c r="AP33" i="1"/>
  <c r="AN34" i="1"/>
  <c r="AM34" i="1"/>
  <c r="D34" i="1"/>
  <c r="AP36" i="1"/>
  <c r="AR37" i="1"/>
  <c r="AP37" i="1"/>
  <c r="AP38" i="1"/>
  <c r="DE39" i="1"/>
  <c r="AP39" i="1"/>
  <c r="AN40" i="1"/>
  <c r="AM40" i="1"/>
  <c r="D40" i="1"/>
  <c r="AN41" i="1"/>
  <c r="AM41" i="1"/>
  <c r="BO41" i="1"/>
  <c r="D41" i="1"/>
  <c r="AN42" i="1"/>
  <c r="AM42" i="1"/>
  <c r="D42" i="1"/>
  <c r="AN43" i="1"/>
  <c r="AM43" i="1"/>
  <c r="D43" i="1"/>
  <c r="AN45" i="1"/>
  <c r="AM45" i="1"/>
  <c r="D45" i="1"/>
  <c r="BN45" i="1"/>
  <c r="DP45" i="1"/>
  <c r="AN46" i="1"/>
  <c r="AM46" i="1"/>
  <c r="D46" i="1"/>
  <c r="AN48" i="1"/>
  <c r="AM48" i="1"/>
  <c r="D48" i="1"/>
  <c r="AN49" i="1"/>
  <c r="AM49" i="1"/>
  <c r="D49" i="1"/>
  <c r="AN50" i="1"/>
  <c r="AM50" i="1"/>
  <c r="D50" i="1"/>
  <c r="AN51" i="1"/>
  <c r="AM51" i="1"/>
  <c r="AX51" i="1"/>
  <c r="D51" i="1"/>
  <c r="BI53" i="1"/>
  <c r="AN55" i="1"/>
  <c r="AM55" i="1"/>
  <c r="D55" i="1"/>
  <c r="AN56" i="1"/>
  <c r="AM56" i="1"/>
  <c r="BC56" i="1"/>
  <c r="D56" i="1"/>
  <c r="AN58" i="1"/>
  <c r="AM58" i="1"/>
  <c r="D58" i="1"/>
  <c r="AN59" i="1"/>
  <c r="AM59" i="1"/>
  <c r="D59" i="1"/>
  <c r="BA60" i="1"/>
  <c r="AP60" i="1"/>
  <c r="AN61" i="1"/>
  <c r="AM61" i="1"/>
  <c r="D61" i="1"/>
  <c r="AN62" i="1"/>
  <c r="AM62" i="1"/>
  <c r="AR62" i="1"/>
  <c r="D62" i="1"/>
  <c r="D63" i="1"/>
  <c r="AN66" i="1"/>
  <c r="AM66" i="1"/>
  <c r="D66" i="1"/>
  <c r="AN67" i="1"/>
  <c r="AM67" i="1"/>
  <c r="D67" i="1"/>
  <c r="AJ67" i="1"/>
  <c r="AI67" i="1"/>
  <c r="AJ66" i="1"/>
  <c r="AI66" i="1"/>
  <c r="AJ65" i="1"/>
  <c r="AI65" i="1"/>
  <c r="AK65" i="1"/>
  <c r="AJ64" i="1"/>
  <c r="AI64" i="1"/>
  <c r="AJ62" i="1"/>
  <c r="AK62" i="1"/>
  <c r="AJ61" i="1"/>
  <c r="AI61" i="1"/>
  <c r="AJ60" i="1"/>
  <c r="AI60" i="1"/>
  <c r="AK60" i="1"/>
  <c r="AJ59" i="1"/>
  <c r="AI59" i="1"/>
  <c r="AK59" i="1"/>
  <c r="AJ58" i="1"/>
  <c r="AI58" i="1"/>
  <c r="AJ57" i="1"/>
  <c r="AI57" i="1"/>
  <c r="AJ56" i="1"/>
  <c r="AI56" i="1"/>
  <c r="AK56" i="1"/>
  <c r="AJ55" i="1"/>
  <c r="AI55" i="1"/>
  <c r="AK55" i="1"/>
  <c r="AP54" i="1"/>
  <c r="AJ54" i="1"/>
  <c r="AI54" i="1"/>
  <c r="AK54" i="1"/>
  <c r="AJ53" i="1"/>
  <c r="AI53" i="1"/>
  <c r="AJ52" i="1"/>
  <c r="AI52" i="1"/>
  <c r="AJ51" i="1"/>
  <c r="AI51" i="1"/>
  <c r="AK51" i="1"/>
  <c r="AJ50" i="1"/>
  <c r="AI50" i="1"/>
  <c r="AK50" i="1"/>
  <c r="AJ49" i="1"/>
  <c r="AI49" i="1"/>
  <c r="AK49" i="1"/>
  <c r="AJ48" i="1"/>
  <c r="AI48" i="1"/>
  <c r="AJ47" i="1"/>
  <c r="AI47" i="1"/>
  <c r="AJ46" i="1"/>
  <c r="AI46" i="1"/>
  <c r="AK46" i="1"/>
  <c r="AJ45" i="1"/>
  <c r="AI45" i="1"/>
  <c r="AJ44" i="1"/>
  <c r="AI44" i="1"/>
  <c r="AJ43" i="1"/>
  <c r="AI43" i="1"/>
  <c r="AJ42" i="1"/>
  <c r="AI42" i="1"/>
  <c r="AK42" i="1"/>
  <c r="AJ41" i="1"/>
  <c r="AI41" i="1"/>
  <c r="AK41" i="1"/>
  <c r="AJ40" i="1"/>
  <c r="AI40" i="1"/>
  <c r="AJ39" i="1"/>
  <c r="AI39" i="1"/>
  <c r="AK39" i="1"/>
  <c r="AJ38" i="1"/>
  <c r="AI38" i="1"/>
  <c r="AK38" i="1"/>
  <c r="AJ37" i="1"/>
  <c r="AI37" i="1"/>
  <c r="AJ36" i="1"/>
  <c r="AI36" i="1"/>
  <c r="AJ35" i="1"/>
  <c r="AI35" i="1"/>
  <c r="AK35" i="1"/>
  <c r="AJ34" i="1"/>
  <c r="AI34" i="1"/>
  <c r="AK34" i="1"/>
  <c r="AJ33" i="1"/>
  <c r="AI33" i="1"/>
  <c r="AK33" i="1"/>
  <c r="AJ32" i="1"/>
  <c r="AI32" i="1"/>
  <c r="AJ31" i="1"/>
  <c r="AI31" i="1"/>
  <c r="AK31" i="1"/>
  <c r="AJ30" i="1"/>
  <c r="AI30" i="1"/>
  <c r="AK30" i="1"/>
  <c r="AJ29" i="1"/>
  <c r="AI29" i="1"/>
  <c r="AJ28" i="1"/>
  <c r="AI28" i="1"/>
  <c r="AJ27" i="1"/>
  <c r="AI27" i="1"/>
  <c r="AK27" i="1"/>
  <c r="AJ26" i="1"/>
  <c r="AI26" i="1"/>
  <c r="AK26" i="1"/>
  <c r="AJ25" i="1"/>
  <c r="AI25" i="1"/>
  <c r="AK25" i="1"/>
  <c r="AJ24" i="1"/>
  <c r="AI24" i="1"/>
  <c r="AJ23" i="1"/>
  <c r="AI23" i="1"/>
  <c r="AK23" i="1"/>
  <c r="AJ19" i="1"/>
  <c r="AI19" i="1"/>
  <c r="AJ20" i="1"/>
  <c r="AI20" i="1"/>
  <c r="AJ21" i="1"/>
  <c r="AI21" i="1"/>
  <c r="AJ22" i="1"/>
  <c r="AI22" i="1"/>
  <c r="AJ18" i="1"/>
  <c r="AI18" i="1"/>
  <c r="AK18" i="1"/>
  <c r="AJ17" i="1"/>
  <c r="AI17" i="1"/>
  <c r="AK17" i="1"/>
  <c r="AJ16" i="1"/>
  <c r="AI16" i="1"/>
  <c r="AJ15" i="1"/>
  <c r="AI15" i="1"/>
  <c r="AK15" i="1"/>
  <c r="AJ14" i="1"/>
  <c r="AI14" i="1"/>
  <c r="AK14" i="1"/>
  <c r="AJ13" i="1"/>
  <c r="AI13" i="1"/>
  <c r="AJ12" i="1"/>
  <c r="AI12" i="1"/>
  <c r="AJ11" i="1"/>
  <c r="AI11" i="1"/>
  <c r="AJ10" i="1"/>
  <c r="AI10" i="1"/>
  <c r="AK10" i="1"/>
  <c r="AJ9" i="1"/>
  <c r="AI9" i="1"/>
  <c r="AK9" i="1"/>
  <c r="AJ8" i="1"/>
  <c r="AI8" i="1"/>
  <c r="AJ7" i="1"/>
  <c r="AI7" i="1"/>
  <c r="AK7" i="1"/>
  <c r="AJ6" i="1"/>
  <c r="AI6" i="1"/>
  <c r="AK6" i="1"/>
  <c r="AJ5" i="1"/>
  <c r="AI5" i="1"/>
  <c r="AJ4" i="1"/>
  <c r="AK4" i="1"/>
  <c r="AR6" i="1"/>
  <c r="AK13" i="1"/>
  <c r="BH11" i="1"/>
  <c r="AP11" i="1"/>
  <c r="AP59" i="1"/>
  <c r="AP13" i="1"/>
  <c r="BI62" i="1"/>
  <c r="DK62" i="1"/>
  <c r="AP53" i="1"/>
  <c r="BA64" i="1"/>
  <c r="CT6" i="1"/>
  <c r="AP34" i="1"/>
  <c r="DQ35" i="1"/>
  <c r="BN33" i="1"/>
  <c r="CQ33" i="1"/>
  <c r="DP33" i="1"/>
  <c r="BO22" i="1"/>
  <c r="CR22" i="1"/>
  <c r="AU11" i="1"/>
  <c r="AO8" i="1"/>
  <c r="BG65" i="1"/>
  <c r="BD22" i="1"/>
  <c r="BF11" i="1"/>
  <c r="DH11" i="1"/>
  <c r="AP28" i="1"/>
  <c r="BN67" i="1"/>
  <c r="DP67" i="1"/>
  <c r="BA29" i="1"/>
  <c r="AT22" i="1"/>
  <c r="AR11" i="1"/>
  <c r="BE6" i="1"/>
  <c r="AP25" i="1"/>
  <c r="AP32" i="1"/>
  <c r="AK61" i="1"/>
  <c r="AY65" i="1"/>
  <c r="AO22" i="1"/>
  <c r="AY11" i="1"/>
  <c r="AO32" i="1"/>
  <c r="BE20" i="1"/>
  <c r="AZ64" i="1"/>
  <c r="AZ11" i="1"/>
  <c r="DB11" i="1"/>
  <c r="AU54" i="1"/>
  <c r="CW54" i="1"/>
  <c r="BB47" i="1"/>
  <c r="DD47" i="1"/>
  <c r="BF22" i="1"/>
  <c r="AX22" i="1"/>
  <c r="BO11" i="1"/>
  <c r="BL38" i="1"/>
  <c r="AV38" i="1"/>
  <c r="AZ38" i="1"/>
  <c r="AK5" i="1"/>
  <c r="AK43" i="1"/>
  <c r="AK48" i="1"/>
  <c r="BI54" i="1"/>
  <c r="BK38" i="1"/>
  <c r="AR35" i="1"/>
  <c r="BA13" i="1"/>
  <c r="BM13" i="1"/>
  <c r="DO13" i="1"/>
  <c r="AO13" i="1"/>
  <c r="AR13" i="1"/>
  <c r="CT13" i="1"/>
  <c r="BE13" i="1"/>
  <c r="AT13" i="1"/>
  <c r="CV13" i="1"/>
  <c r="BH13" i="1"/>
  <c r="AK45" i="1"/>
  <c r="BD54" i="1"/>
  <c r="BL13" i="1"/>
  <c r="DN13" i="1"/>
  <c r="AV18" i="1"/>
  <c r="AK47" i="1"/>
  <c r="AK67" i="1"/>
  <c r="AU66" i="1"/>
  <c r="BN22" i="1"/>
  <c r="AY22" i="1"/>
  <c r="DA22" i="1"/>
  <c r="BD6" i="1"/>
  <c r="AS6" i="1"/>
  <c r="AP6" i="1"/>
  <c r="AO11" i="1"/>
  <c r="BH22" i="1"/>
  <c r="BJ11" i="1"/>
  <c r="DL11" i="1"/>
  <c r="AK58" i="1"/>
  <c r="AK20" i="1"/>
  <c r="AK37" i="1"/>
  <c r="BB55" i="1"/>
  <c r="DD55" i="1"/>
  <c r="AO20" i="1"/>
  <c r="AP9" i="1"/>
  <c r="BH65" i="1"/>
  <c r="BO65" i="1"/>
  <c r="AV54" i="1"/>
  <c r="CX54" i="1"/>
  <c r="BK54" i="1"/>
  <c r="BA54" i="1"/>
  <c r="DC54" i="1"/>
  <c r="BD38" i="1"/>
  <c r="BO38" i="1"/>
  <c r="AS38" i="1"/>
  <c r="BE38" i="1"/>
  <c r="AX35" i="1"/>
  <c r="CZ35" i="1"/>
  <c r="AO35" i="1"/>
  <c r="BH29" i="1"/>
  <c r="AT20" i="1"/>
  <c r="BD20" i="1"/>
  <c r="DF20" i="1"/>
  <c r="BG18" i="1"/>
  <c r="BD33" i="1"/>
  <c r="DF33" i="1"/>
  <c r="AZ33" i="1"/>
  <c r="CC33" i="1"/>
  <c r="BI33" i="1"/>
  <c r="DK33" i="1"/>
  <c r="AO33" i="1"/>
  <c r="AW29" i="1"/>
  <c r="AX29" i="1"/>
  <c r="CZ29" i="1"/>
  <c r="BM29" i="1"/>
  <c r="BN24" i="1"/>
  <c r="DP24" i="1"/>
  <c r="AP45" i="1"/>
  <c r="AV59" i="1"/>
  <c r="CX59" i="1"/>
  <c r="BB45" i="1"/>
  <c r="DD45" i="1"/>
  <c r="BI29" i="1"/>
  <c r="AV29" i="1"/>
  <c r="AU15" i="1"/>
  <c r="CW15" i="1"/>
  <c r="AP20" i="1"/>
  <c r="AK19" i="1"/>
  <c r="AO29" i="1"/>
  <c r="AP8" i="1"/>
  <c r="AK22" i="1"/>
  <c r="BF66" i="1"/>
  <c r="DH66" i="1"/>
  <c r="BH64" i="1"/>
  <c r="DN64" i="1"/>
  <c r="AU50" i="1"/>
  <c r="AZ45" i="1"/>
  <c r="AS41" i="1"/>
  <c r="AS33" i="1"/>
  <c r="AS24" i="1"/>
  <c r="BV24" i="1"/>
  <c r="BM20" i="1"/>
  <c r="DO20" i="1"/>
  <c r="BK7" i="1"/>
  <c r="AP7" i="1"/>
  <c r="AK29" i="1"/>
  <c r="AK64" i="1"/>
  <c r="BI6" i="1"/>
  <c r="DK6" i="1"/>
  <c r="AU6" i="1"/>
  <c r="BL66" i="1"/>
  <c r="AY38" i="1"/>
  <c r="BJ25" i="1"/>
  <c r="CM25" i="1"/>
  <c r="DL25" i="1"/>
  <c r="BO6" i="1"/>
  <c r="AZ6" i="1"/>
  <c r="DB6" i="1"/>
  <c r="AO60" i="1"/>
  <c r="AU62" i="1"/>
  <c r="CW62" i="1"/>
  <c r="AP62" i="1"/>
  <c r="AX57" i="1"/>
  <c r="BL53" i="1"/>
  <c r="AR53" i="1"/>
  <c r="BF53" i="1"/>
  <c r="AV42" i="1"/>
  <c r="BY42" i="1"/>
  <c r="BL42" i="1"/>
  <c r="AU42" i="1"/>
  <c r="AP42" i="1"/>
  <c r="AX40" i="1"/>
  <c r="BI40" i="1"/>
  <c r="AS40" i="1"/>
  <c r="BG40" i="1"/>
  <c r="BB40" i="1"/>
  <c r="BC40" i="1"/>
  <c r="DL37" i="1"/>
  <c r="BA21" i="1"/>
  <c r="BK21" i="1"/>
  <c r="AZ17" i="1"/>
  <c r="CC17" i="1"/>
  <c r="CZ17" i="1"/>
  <c r="BI17" i="1"/>
  <c r="AK24" i="1"/>
  <c r="AO40" i="1"/>
  <c r="AK53" i="1"/>
  <c r="AP61" i="1"/>
  <c r="BG62" i="1"/>
  <c r="CT62" i="1"/>
  <c r="BC62" i="1"/>
  <c r="BL62" i="1"/>
  <c r="BM62" i="1"/>
  <c r="BB61" i="1"/>
  <c r="AV45" i="1"/>
  <c r="CX45" i="1"/>
  <c r="BA45" i="1"/>
  <c r="DC45" i="1"/>
  <c r="BF45" i="1"/>
  <c r="DH45" i="1"/>
  <c r="BL45" i="1"/>
  <c r="AW45" i="1"/>
  <c r="BD45" i="1"/>
  <c r="BJ45" i="1"/>
  <c r="DL45" i="1"/>
  <c r="AO45" i="1"/>
  <c r="AR45" i="1"/>
  <c r="CT45" i="1"/>
  <c r="AX45" i="1"/>
  <c r="BE45" i="1"/>
  <c r="BM45" i="1"/>
  <c r="DO45" i="1"/>
  <c r="BN40" i="1"/>
  <c r="AU36" i="1"/>
  <c r="BF36" i="1"/>
  <c r="BE36" i="1"/>
  <c r="AT36" i="1"/>
  <c r="BK36" i="1"/>
  <c r="AY36" i="1"/>
  <c r="BO36" i="1"/>
  <c r="BG32" i="1"/>
  <c r="BM32" i="1"/>
  <c r="BN32" i="1"/>
  <c r="AV4" i="1"/>
  <c r="CX4" i="1"/>
  <c r="AP40" i="1"/>
  <c r="AO57" i="1"/>
  <c r="AS67" i="1"/>
  <c r="AY62" i="1"/>
  <c r="AZ61" i="1"/>
  <c r="AT59" i="1"/>
  <c r="AV55" i="1"/>
  <c r="AU55" i="1"/>
  <c r="BI45" i="1"/>
  <c r="DK45" i="1"/>
  <c r="AT45" i="1"/>
  <c r="CV45" i="1"/>
  <c r="AP41" i="1"/>
  <c r="BM40" i="1"/>
  <c r="BJ36" i="1"/>
  <c r="AR27" i="1"/>
  <c r="AV20" i="1"/>
  <c r="BA20" i="1"/>
  <c r="BF20" i="1"/>
  <c r="BL20" i="1"/>
  <c r="DN20" i="1"/>
  <c r="AS20" i="1"/>
  <c r="AZ20" i="1"/>
  <c r="DB20" i="1"/>
  <c r="BH20" i="1"/>
  <c r="BN20" i="1"/>
  <c r="DP20" i="1"/>
  <c r="AX20" i="1"/>
  <c r="CZ20" i="1"/>
  <c r="BI20" i="1"/>
  <c r="AR20" i="1"/>
  <c r="CT20" i="1"/>
  <c r="BB20" i="1"/>
  <c r="BJ20" i="1"/>
  <c r="AX9" i="1"/>
  <c r="BJ9" i="1"/>
  <c r="AS9" i="1"/>
  <c r="BN9" i="1"/>
  <c r="AZ9" i="1"/>
  <c r="DB9" i="1"/>
  <c r="AK8" i="1"/>
  <c r="AO36" i="1"/>
  <c r="AU65" i="1"/>
  <c r="AV65" i="1"/>
  <c r="BC65" i="1"/>
  <c r="DN65" i="1"/>
  <c r="AS65" i="1"/>
  <c r="CU65" i="1"/>
  <c r="BD65" i="1"/>
  <c r="DF65" i="1"/>
  <c r="BB64" i="1"/>
  <c r="DD64" i="1"/>
  <c r="BJ64" i="1"/>
  <c r="DL64" i="1"/>
  <c r="AT64" i="1"/>
  <c r="CV64" i="1"/>
  <c r="BM64" i="1"/>
  <c r="DO64" i="1"/>
  <c r="AW64" i="1"/>
  <c r="AR61" i="1"/>
  <c r="BF55" i="1"/>
  <c r="AR54" i="1"/>
  <c r="CT54" i="1"/>
  <c r="AW54" i="1"/>
  <c r="BC54" i="1"/>
  <c r="BH54" i="1"/>
  <c r="BM54" i="1"/>
  <c r="AY54" i="1"/>
  <c r="BE54" i="1"/>
  <c r="BL54" i="1"/>
  <c r="AO54" i="1"/>
  <c r="AS54" i="1"/>
  <c r="AZ54" i="1"/>
  <c r="BO54" i="1"/>
  <c r="BL47" i="1"/>
  <c r="BH45" i="1"/>
  <c r="AS45" i="1"/>
  <c r="BE42" i="1"/>
  <c r="DG42" i="1"/>
  <c r="CH42" i="1"/>
  <c r="AW40" i="1"/>
  <c r="BA36" i="1"/>
  <c r="AW32" i="1"/>
  <c r="CY20" i="1"/>
  <c r="BM16" i="1"/>
  <c r="BB16" i="1"/>
  <c r="AT61" i="1"/>
  <c r="AZ50" i="1"/>
  <c r="DB50" i="1"/>
  <c r="BN43" i="1"/>
  <c r="BE19" i="1"/>
  <c r="DG19" i="1"/>
  <c r="BE18" i="1"/>
  <c r="AU18" i="1"/>
  <c r="AV13" i="1"/>
  <c r="CX13" i="1"/>
  <c r="BB13" i="1"/>
  <c r="BJ13" i="1"/>
  <c r="DL13" i="1"/>
  <c r="AK16" i="1"/>
  <c r="AK32" i="1"/>
  <c r="AO38" i="1"/>
  <c r="AK40" i="1"/>
  <c r="AV66" i="1"/>
  <c r="BY66" i="1"/>
  <c r="BB66" i="1"/>
  <c r="DD66" i="1"/>
  <c r="AV61" i="1"/>
  <c r="AU60" i="1"/>
  <c r="BE60" i="1"/>
  <c r="BE50" i="1"/>
  <c r="BG38" i="1"/>
  <c r="AR38" i="1"/>
  <c r="AW38" i="1"/>
  <c r="BC38" i="1"/>
  <c r="BH38" i="1"/>
  <c r="BM38" i="1"/>
  <c r="AU38" i="1"/>
  <c r="BI38" i="1"/>
  <c r="AU35" i="1"/>
  <c r="BJ35" i="1"/>
  <c r="BN35" i="1"/>
  <c r="DP35" i="1"/>
  <c r="BC24" i="1"/>
  <c r="CF24" i="1"/>
  <c r="BH19" i="1"/>
  <c r="AU22" i="1"/>
  <c r="BC22" i="1"/>
  <c r="BJ22" i="1"/>
  <c r="AR22" i="1"/>
  <c r="AZ22" i="1"/>
  <c r="BK22" i="1"/>
  <c r="BA18" i="1"/>
  <c r="BF13" i="1"/>
  <c r="DH13" i="1"/>
  <c r="AW13" i="1"/>
  <c r="AX11" i="1"/>
  <c r="BD11" i="1"/>
  <c r="BK11" i="1"/>
  <c r="DM11" i="1"/>
  <c r="AT11" i="1"/>
  <c r="BC11" i="1"/>
  <c r="BN11" i="1"/>
  <c r="DP11" i="1"/>
  <c r="AO55" i="1"/>
  <c r="AT33" i="1"/>
  <c r="AX33" i="1"/>
  <c r="BJ33" i="1"/>
  <c r="AT29" i="1"/>
  <c r="BB15" i="1"/>
  <c r="DD15" i="1"/>
  <c r="AS13" i="1"/>
  <c r="AX13" i="1"/>
  <c r="BD13" i="1"/>
  <c r="BI13" i="1"/>
  <c r="BN13" i="1"/>
  <c r="BG6" i="1"/>
  <c r="BL6" i="1"/>
  <c r="AZ18" i="1"/>
  <c r="AK11" i="1"/>
  <c r="AM63" i="1"/>
  <c r="AI63" i="1"/>
  <c r="BF49" i="1"/>
  <c r="BM48" i="1"/>
  <c r="BJ44" i="1"/>
  <c r="BE7" i="1"/>
  <c r="BI7" i="1"/>
  <c r="AY7" i="1"/>
  <c r="AR7" i="1"/>
  <c r="AX7" i="1"/>
  <c r="BC7" i="1"/>
  <c r="BN7" i="1"/>
  <c r="H101" i="3"/>
  <c r="H130" i="3"/>
  <c r="AO48" i="1"/>
  <c r="AU67" i="1"/>
  <c r="BA67" i="1"/>
  <c r="AO66" i="1"/>
  <c r="AU57" i="1"/>
  <c r="AY57" i="1"/>
  <c r="BC57" i="1"/>
  <c r="BK57" i="1"/>
  <c r="BB57" i="1"/>
  <c r="BH57" i="1"/>
  <c r="BM57" i="1"/>
  <c r="AT49" i="1"/>
  <c r="BW49" i="1"/>
  <c r="BI48" i="1"/>
  <c r="BK47" i="1"/>
  <c r="AZ47" i="1"/>
  <c r="AS47" i="1"/>
  <c r="AW47" i="1"/>
  <c r="BA47" i="1"/>
  <c r="BE47" i="1"/>
  <c r="BI47" i="1"/>
  <c r="DK47" i="1"/>
  <c r="BM47" i="1"/>
  <c r="AT47" i="1"/>
  <c r="AY47" i="1"/>
  <c r="BD47" i="1"/>
  <c r="BJ47" i="1"/>
  <c r="BO47" i="1"/>
  <c r="AR47" i="1"/>
  <c r="AU47" i="1"/>
  <c r="AV47" i="1"/>
  <c r="BC47" i="1"/>
  <c r="BF47" i="1"/>
  <c r="BG47" i="1"/>
  <c r="BH47" i="1"/>
  <c r="BN47" i="1"/>
  <c r="BQ47" i="1"/>
  <c r="BA42" i="1"/>
  <c r="CD42" i="1"/>
  <c r="AX25" i="1"/>
  <c r="BK24" i="1"/>
  <c r="CN24" i="1"/>
  <c r="AT24" i="1"/>
  <c r="CV24" i="1"/>
  <c r="AY24" i="1"/>
  <c r="BJ24" i="1"/>
  <c r="BE17" i="1"/>
  <c r="AT17" i="1"/>
  <c r="BI16" i="1"/>
  <c r="AX16" i="1"/>
  <c r="BK15" i="1"/>
  <c r="AZ15" i="1"/>
  <c r="AV7" i="1"/>
  <c r="C29" i="8"/>
  <c r="F31" i="8"/>
  <c r="AO24" i="1"/>
  <c r="AO47" i="1"/>
  <c r="AO7" i="1"/>
  <c r="AO15" i="1"/>
  <c r="AP16" i="1"/>
  <c r="AP24" i="1"/>
  <c r="AO42" i="1"/>
  <c r="AP47" i="1"/>
  <c r="AO50" i="1"/>
  <c r="BG66" i="1"/>
  <c r="AN63" i="1"/>
  <c r="AV63" i="1"/>
  <c r="BF60" i="1"/>
  <c r="BN57" i="1"/>
  <c r="AS57" i="1"/>
  <c r="BE52" i="1"/>
  <c r="DG52" i="1"/>
  <c r="AT52" i="1"/>
  <c r="CV52" i="1"/>
  <c r="BK50" i="1"/>
  <c r="BK44" i="1"/>
  <c r="BG42" i="1"/>
  <c r="AY41" i="1"/>
  <c r="AU40" i="1"/>
  <c r="BA40" i="1"/>
  <c r="BF40" i="1"/>
  <c r="BK40" i="1"/>
  <c r="AT40" i="1"/>
  <c r="AY40" i="1"/>
  <c r="BE40" i="1"/>
  <c r="BJ40" i="1"/>
  <c r="BO40" i="1"/>
  <c r="AR36" i="1"/>
  <c r="AV36" i="1"/>
  <c r="AZ36" i="1"/>
  <c r="BD36" i="1"/>
  <c r="BH36" i="1"/>
  <c r="BL36" i="1"/>
  <c r="AS36" i="1"/>
  <c r="AX36" i="1"/>
  <c r="BC36" i="1"/>
  <c r="BI36" i="1"/>
  <c r="AW36" i="1"/>
  <c r="BB36" i="1"/>
  <c r="BG36" i="1"/>
  <c r="BM36" i="1"/>
  <c r="BE33" i="1"/>
  <c r="BO26" i="1"/>
  <c r="BN25" i="1"/>
  <c r="BD25" i="1"/>
  <c r="BG24" i="1"/>
  <c r="BJ17" i="1"/>
  <c r="BN16" i="1"/>
  <c r="BC16" i="1"/>
  <c r="BF15" i="1"/>
  <c r="AY9" i="1"/>
  <c r="BC9" i="1"/>
  <c r="BK9" i="1"/>
  <c r="BB9" i="1"/>
  <c r="BH9" i="1"/>
  <c r="BM9" i="1"/>
  <c r="CP9" i="1"/>
  <c r="BA9" i="1"/>
  <c r="BB7" i="1"/>
  <c r="F15" i="8"/>
  <c r="BK48" i="1"/>
  <c r="AT48" i="1"/>
  <c r="AY48" i="1"/>
  <c r="BJ48" i="1"/>
  <c r="AZ44" i="1"/>
  <c r="BD44" i="1"/>
  <c r="DF44" i="1"/>
  <c r="BH44" i="1"/>
  <c r="BN44" i="1"/>
  <c r="AW44" i="1"/>
  <c r="BB44" i="1"/>
  <c r="BM44" i="1"/>
  <c r="BI39" i="1"/>
  <c r="AX39" i="1"/>
  <c r="CZ39" i="1"/>
  <c r="AU17" i="1"/>
  <c r="AY17" i="1"/>
  <c r="BC17" i="1"/>
  <c r="BG17" i="1"/>
  <c r="BK17" i="1"/>
  <c r="BO17" i="1"/>
  <c r="AR17" i="1"/>
  <c r="AW17" i="1"/>
  <c r="BB17" i="1"/>
  <c r="BH17" i="1"/>
  <c r="BM17" i="1"/>
  <c r="AV17" i="1"/>
  <c r="BA17" i="1"/>
  <c r="BF17" i="1"/>
  <c r="BL17" i="1"/>
  <c r="AU16" i="1"/>
  <c r="AT16" i="1"/>
  <c r="AY16" i="1"/>
  <c r="BE16" i="1"/>
  <c r="BO16" i="1"/>
  <c r="BL15" i="1"/>
  <c r="F28" i="8"/>
  <c r="AO17" i="1"/>
  <c r="AK66" i="1"/>
  <c r="AT42" i="1"/>
  <c r="AX42" i="1"/>
  <c r="BB42" i="1"/>
  <c r="BF42" i="1"/>
  <c r="BJ42" i="1"/>
  <c r="BN42" i="1"/>
  <c r="AS42" i="1"/>
  <c r="AY42" i="1"/>
  <c r="BD42" i="1"/>
  <c r="BI42" i="1"/>
  <c r="BO42" i="1"/>
  <c r="AR42" i="1"/>
  <c r="AW42" i="1"/>
  <c r="BC42" i="1"/>
  <c r="BH42" i="1"/>
  <c r="BM42" i="1"/>
  <c r="AU25" i="1"/>
  <c r="CW25" i="1"/>
  <c r="AY25" i="1"/>
  <c r="BG25" i="1"/>
  <c r="AW25" i="1"/>
  <c r="BB25" i="1"/>
  <c r="BH25" i="1"/>
  <c r="AV25" i="1"/>
  <c r="AR21" i="1"/>
  <c r="AV21" i="1"/>
  <c r="AZ21" i="1"/>
  <c r="BH21" i="1"/>
  <c r="BI21" i="1"/>
  <c r="BN21" i="1"/>
  <c r="BB21" i="1"/>
  <c r="AS15" i="1"/>
  <c r="AW15" i="1"/>
  <c r="BA15" i="1"/>
  <c r="BE15" i="1"/>
  <c r="BI15" i="1"/>
  <c r="BM15" i="1"/>
  <c r="AT15" i="1"/>
  <c r="BD15" i="1"/>
  <c r="BJ15" i="1"/>
  <c r="BO15" i="1"/>
  <c r="AR15" i="1"/>
  <c r="AX15" i="1"/>
  <c r="BC15" i="1"/>
  <c r="BH15" i="1"/>
  <c r="BN15" i="1"/>
  <c r="C101" i="3"/>
  <c r="C130" i="3"/>
  <c r="I101" i="3"/>
  <c r="I130" i="3"/>
  <c r="D101" i="3"/>
  <c r="D130" i="3"/>
  <c r="AP52" i="1"/>
  <c r="AP55" i="1"/>
  <c r="AJ63" i="1"/>
  <c r="AK63" i="1"/>
  <c r="AP66" i="1"/>
  <c r="AX67" i="1"/>
  <c r="BK66" i="1"/>
  <c r="AZ66" i="1"/>
  <c r="AS66" i="1"/>
  <c r="AW66" i="1"/>
  <c r="BA66" i="1"/>
  <c r="BE66" i="1"/>
  <c r="BI66" i="1"/>
  <c r="BM66" i="1"/>
  <c r="AT66" i="1"/>
  <c r="AY66" i="1"/>
  <c r="BD66" i="1"/>
  <c r="BJ66" i="1"/>
  <c r="BO66" i="1"/>
  <c r="AR66" i="1"/>
  <c r="AX66" i="1"/>
  <c r="BC66" i="1"/>
  <c r="BH66" i="1"/>
  <c r="BN66" i="1"/>
  <c r="AR60" i="1"/>
  <c r="AV60" i="1"/>
  <c r="BH60" i="1"/>
  <c r="BC60" i="1"/>
  <c r="BI60" i="1"/>
  <c r="CL60" i="1"/>
  <c r="BN60" i="1"/>
  <c r="BB60" i="1"/>
  <c r="DD60" i="1"/>
  <c r="AT57" i="1"/>
  <c r="BK55" i="1"/>
  <c r="BA55" i="1"/>
  <c r="BE55" i="1"/>
  <c r="BI55" i="1"/>
  <c r="AT55" i="1"/>
  <c r="BO55" i="1"/>
  <c r="AR55" i="1"/>
  <c r="AX55" i="1"/>
  <c r="BH55" i="1"/>
  <c r="AT50" i="1"/>
  <c r="AX50" i="1"/>
  <c r="BB50" i="1"/>
  <c r="BJ50" i="1"/>
  <c r="BD50" i="1"/>
  <c r="BI50" i="1"/>
  <c r="BO50" i="1"/>
  <c r="CR50" i="1"/>
  <c r="AW50" i="1"/>
  <c r="AS49" i="1"/>
  <c r="CU49" i="1"/>
  <c r="AW48" i="1"/>
  <c r="BE44" i="1"/>
  <c r="AT44" i="1"/>
  <c r="BK42" i="1"/>
  <c r="DM42" i="1"/>
  <c r="AZ42" i="1"/>
  <c r="BF39" i="1"/>
  <c r="AU33" i="1"/>
  <c r="AY33" i="1"/>
  <c r="BC33" i="1"/>
  <c r="BG33" i="1"/>
  <c r="BK33" i="1"/>
  <c r="BO33" i="1"/>
  <c r="AR33" i="1"/>
  <c r="AW33" i="1"/>
  <c r="BB33" i="1"/>
  <c r="BH33" i="1"/>
  <c r="BM33" i="1"/>
  <c r="AV33" i="1"/>
  <c r="BA33" i="1"/>
  <c r="BF33" i="1"/>
  <c r="BA32" i="1"/>
  <c r="BF32" i="1"/>
  <c r="BK32" i="1"/>
  <c r="AY32" i="1"/>
  <c r="BE25" i="1"/>
  <c r="DG25" i="1"/>
  <c r="CV25" i="1"/>
  <c r="BI24" i="1"/>
  <c r="AR23" i="1"/>
  <c r="AX18" i="1"/>
  <c r="BB18" i="1"/>
  <c r="BF18" i="1"/>
  <c r="BN18" i="1"/>
  <c r="BI18" i="1"/>
  <c r="BO18" i="1"/>
  <c r="AR18" i="1"/>
  <c r="BC18" i="1"/>
  <c r="BN17" i="1"/>
  <c r="BD17" i="1"/>
  <c r="AS17" i="1"/>
  <c r="BG16" i="1"/>
  <c r="BG15" i="1"/>
  <c r="AV15" i="1"/>
  <c r="AU7" i="1"/>
  <c r="BO4" i="1"/>
  <c r="AX4" i="1"/>
  <c r="CZ4" i="1"/>
  <c r="AR4" i="1"/>
  <c r="F101" i="3"/>
  <c r="F130" i="3"/>
  <c r="L101" i="3"/>
  <c r="L130" i="3"/>
  <c r="BJ67" i="1"/>
  <c r="BE67" i="1"/>
  <c r="BK65" i="1"/>
  <c r="CN65" i="1"/>
  <c r="BI64" i="1"/>
  <c r="BD64" i="1"/>
  <c r="AX64" i="1"/>
  <c r="BE62" i="1"/>
  <c r="AX61" i="1"/>
  <c r="AW51" i="1"/>
  <c r="AW35" i="1"/>
  <c r="BM35" i="1"/>
  <c r="AS22" i="1"/>
  <c r="AW22" i="1"/>
  <c r="BA22" i="1"/>
  <c r="BI22" i="1"/>
  <c r="BM22" i="1"/>
  <c r="AS11" i="1"/>
  <c r="AW11" i="1"/>
  <c r="BA11" i="1"/>
  <c r="BE11" i="1"/>
  <c r="BI11" i="1"/>
  <c r="DK11" i="1"/>
  <c r="BM11" i="1"/>
  <c r="C15" i="8"/>
  <c r="C31" i="8"/>
  <c r="F14" i="8"/>
  <c r="F16" i="8"/>
  <c r="F20" i="8"/>
  <c r="AV67" i="1"/>
  <c r="AZ67" i="1"/>
  <c r="BH67" i="1"/>
  <c r="BB65" i="1"/>
  <c r="BF65" i="1"/>
  <c r="BJ65" i="1"/>
  <c r="AU64" i="1"/>
  <c r="BK64" i="1"/>
  <c r="BO64" i="1"/>
  <c r="AT62" i="1"/>
  <c r="BB62" i="1"/>
  <c r="AY61" i="1"/>
  <c r="AT54" i="1"/>
  <c r="AX54" i="1"/>
  <c r="BB54" i="1"/>
  <c r="BF54" i="1"/>
  <c r="BJ54" i="1"/>
  <c r="BN54" i="1"/>
  <c r="AU53" i="1"/>
  <c r="DE53" i="1"/>
  <c r="AR48" i="1"/>
  <c r="BH48" i="1"/>
  <c r="BL48" i="1"/>
  <c r="AU45" i="1"/>
  <c r="AY45" i="1"/>
  <c r="BC45" i="1"/>
  <c r="BG45" i="1"/>
  <c r="BK45" i="1"/>
  <c r="BO45" i="1"/>
  <c r="AR40" i="1"/>
  <c r="AV40" i="1"/>
  <c r="AZ40" i="1"/>
  <c r="BD40" i="1"/>
  <c r="BH40" i="1"/>
  <c r="BL40" i="1"/>
  <c r="AT38" i="1"/>
  <c r="AX38" i="1"/>
  <c r="BB38" i="1"/>
  <c r="BF38" i="1"/>
  <c r="BJ38" i="1"/>
  <c r="BN38" i="1"/>
  <c r="BL35" i="1"/>
  <c r="AR32" i="1"/>
  <c r="AV32" i="1"/>
  <c r="BH32" i="1"/>
  <c r="BK29" i="1"/>
  <c r="BO29" i="1"/>
  <c r="AZ24" i="1"/>
  <c r="BD24" i="1"/>
  <c r="DF24" i="1"/>
  <c r="AU20" i="1"/>
  <c r="AY20" i="1"/>
  <c r="BC20" i="1"/>
  <c r="DE20" i="1"/>
  <c r="BG20" i="1"/>
  <c r="BK20" i="1"/>
  <c r="BO20" i="1"/>
  <c r="BL22" i="1"/>
  <c r="BG22" i="1"/>
  <c r="BB22" i="1"/>
  <c r="AV22" i="1"/>
  <c r="AR16" i="1"/>
  <c r="BH16" i="1"/>
  <c r="BL16" i="1"/>
  <c r="AU13" i="1"/>
  <c r="AY13" i="1"/>
  <c r="BC13" i="1"/>
  <c r="BG13" i="1"/>
  <c r="BK13" i="1"/>
  <c r="BO13" i="1"/>
  <c r="BQ13" i="1"/>
  <c r="BL11" i="1"/>
  <c r="DN11" i="1"/>
  <c r="BG11" i="1"/>
  <c r="BB11" i="1"/>
  <c r="DD11" i="1"/>
  <c r="AV11" i="1"/>
  <c r="BF6" i="1"/>
  <c r="BJ6" i="1"/>
  <c r="DL6" i="1"/>
  <c r="BN6" i="1"/>
  <c r="M101" i="3"/>
  <c r="M130" i="3"/>
  <c r="E101" i="3"/>
  <c r="E130" i="3"/>
  <c r="C18" i="8"/>
  <c r="BD27" i="2"/>
  <c r="BD9" i="2"/>
  <c r="BD15" i="2"/>
  <c r="BD17" i="2"/>
  <c r="BD21" i="2"/>
  <c r="BD31" i="2"/>
  <c r="J154" i="3"/>
  <c r="J153" i="3"/>
  <c r="J152" i="3"/>
  <c r="J150" i="3"/>
  <c r="J149" i="3"/>
  <c r="J148" i="3"/>
  <c r="J147" i="3"/>
  <c r="J146" i="3"/>
  <c r="J145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BD10" i="2"/>
  <c r="BD20" i="2"/>
  <c r="BD26" i="2"/>
  <c r="BD24" i="2"/>
  <c r="CT11" i="1"/>
  <c r="DK54" i="1"/>
  <c r="CX20" i="1"/>
  <c r="DF13" i="1"/>
  <c r="CG65" i="1"/>
  <c r="CC50" i="1"/>
  <c r="DG20" i="1"/>
  <c r="DN66" i="1"/>
  <c r="CU45" i="1"/>
  <c r="DC13" i="1"/>
  <c r="CU24" i="1"/>
  <c r="CL33" i="1"/>
  <c r="DK53" i="1"/>
  <c r="DN53" i="1"/>
  <c r="CQ24" i="1"/>
  <c r="CZ13" i="1"/>
  <c r="CP64" i="1"/>
  <c r="CI66" i="1"/>
  <c r="DB33" i="1"/>
  <c r="CZ11" i="1"/>
  <c r="DG45" i="1"/>
  <c r="DJ20" i="1"/>
  <c r="DD16" i="1"/>
  <c r="DH20" i="1"/>
  <c r="CX66" i="1"/>
  <c r="CV20" i="1"/>
  <c r="DM54" i="1"/>
  <c r="BV65" i="1"/>
  <c r="CX42" i="1"/>
  <c r="DK29" i="1"/>
  <c r="CY29" i="1"/>
  <c r="CU13" i="1"/>
  <c r="DB54" i="1"/>
  <c r="DG54" i="1"/>
  <c r="CC9" i="1"/>
  <c r="CM9" i="1"/>
  <c r="DL9" i="1"/>
  <c r="DC20" i="1"/>
  <c r="DD61" i="1"/>
  <c r="DN62" i="1"/>
  <c r="CW42" i="1"/>
  <c r="BW64" i="1"/>
  <c r="DP13" i="1"/>
  <c r="DH55" i="1"/>
  <c r="DK13" i="1"/>
  <c r="DF11" i="1"/>
  <c r="DG60" i="1"/>
  <c r="BZ64" i="1"/>
  <c r="CY64" i="1"/>
  <c r="CU20" i="1"/>
  <c r="CB27" i="1"/>
  <c r="CW55" i="1"/>
  <c r="CO42" i="1"/>
  <c r="DN42" i="1"/>
  <c r="DE62" i="1"/>
  <c r="DO62" i="1"/>
  <c r="DE54" i="1"/>
  <c r="DB17" i="1"/>
  <c r="CM33" i="1"/>
  <c r="DL33" i="1"/>
  <c r="DE11" i="1"/>
  <c r="DN47" i="1"/>
  <c r="CM64" i="1"/>
  <c r="CX65" i="1"/>
  <c r="DK17" i="1"/>
  <c r="CA57" i="1"/>
  <c r="CZ57" i="1"/>
  <c r="DA54" i="1"/>
  <c r="DE24" i="1"/>
  <c r="DI6" i="1"/>
  <c r="CA33" i="1"/>
  <c r="CZ33" i="1"/>
  <c r="DI54" i="1"/>
  <c r="DN54" i="1"/>
  <c r="BX65" i="1"/>
  <c r="CW65" i="1"/>
  <c r="CU9" i="1"/>
  <c r="CZ9" i="1"/>
  <c r="DI62" i="1"/>
  <c r="DH53" i="1"/>
  <c r="CX11" i="1"/>
  <c r="DA13" i="1"/>
  <c r="DQ20" i="1"/>
  <c r="DA20" i="1"/>
  <c r="DI45" i="1"/>
  <c r="DJ67" i="1"/>
  <c r="DP17" i="1"/>
  <c r="CQ17" i="1"/>
  <c r="DH33" i="1"/>
  <c r="CK33" i="1"/>
  <c r="DJ33" i="1"/>
  <c r="DA33" i="1"/>
  <c r="CX47" i="1"/>
  <c r="DQ50" i="1"/>
  <c r="CE50" i="1"/>
  <c r="DD50" i="1"/>
  <c r="DQ55" i="1"/>
  <c r="DC55" i="1"/>
  <c r="CV57" i="1"/>
  <c r="BW57" i="1"/>
  <c r="CT60" i="1"/>
  <c r="DE66" i="1"/>
  <c r="CF66" i="1"/>
  <c r="CP66" i="1"/>
  <c r="DO66" i="1"/>
  <c r="CY66" i="1"/>
  <c r="BZ66" i="1"/>
  <c r="DO15" i="1"/>
  <c r="CE25" i="1"/>
  <c r="DD25" i="1"/>
  <c r="BZ42" i="1"/>
  <c r="CY42" i="1"/>
  <c r="CM42" i="1"/>
  <c r="DL42" i="1"/>
  <c r="BW42" i="1"/>
  <c r="CV42" i="1"/>
  <c r="DN15" i="1"/>
  <c r="CD17" i="1"/>
  <c r="DC17" i="1"/>
  <c r="DD17" i="1"/>
  <c r="CE17" i="1"/>
  <c r="CW17" i="1"/>
  <c r="DP44" i="1"/>
  <c r="DB44" i="1"/>
  <c r="CD9" i="1"/>
  <c r="DC9" i="1"/>
  <c r="DM9" i="1"/>
  <c r="CW9" i="1"/>
  <c r="DL17" i="1"/>
  <c r="CQ25" i="1"/>
  <c r="DP25" i="1"/>
  <c r="DJ36" i="1"/>
  <c r="CN50" i="1"/>
  <c r="DM50" i="1"/>
  <c r="BW24" i="1"/>
  <c r="DC42" i="1"/>
  <c r="DC47" i="1"/>
  <c r="AP63" i="1"/>
  <c r="DM13" i="1"/>
  <c r="DD22" i="1"/>
  <c r="CW20" i="1"/>
  <c r="BR20" i="1"/>
  <c r="BP40" i="1"/>
  <c r="BR40" i="1"/>
  <c r="CW53" i="1"/>
  <c r="DD54" i="1"/>
  <c r="CV62" i="1"/>
  <c r="CM65" i="1"/>
  <c r="DL65" i="1"/>
  <c r="CY11" i="1"/>
  <c r="CA64" i="1"/>
  <c r="CZ64" i="1"/>
  <c r="DG67" i="1"/>
  <c r="CH25" i="1"/>
  <c r="DC33" i="1"/>
  <c r="DD33" i="1"/>
  <c r="CE33" i="1"/>
  <c r="BX33" i="1"/>
  <c r="CW33" i="1"/>
  <c r="CZ50" i="1"/>
  <c r="CA50" i="1"/>
  <c r="CU66" i="1"/>
  <c r="BV66" i="1"/>
  <c r="CZ15" i="1"/>
  <c r="DF15" i="1"/>
  <c r="CU15" i="1"/>
  <c r="CX25" i="1"/>
  <c r="DI25" i="1"/>
  <c r="BU42" i="1"/>
  <c r="CT42" i="1"/>
  <c r="CB42" i="1"/>
  <c r="DA42" i="1"/>
  <c r="CY17" i="1"/>
  <c r="BZ17" i="1"/>
  <c r="DI17" i="1"/>
  <c r="DH15" i="1"/>
  <c r="CH33" i="1"/>
  <c r="DG33" i="1"/>
  <c r="CV17" i="1"/>
  <c r="BW17" i="1"/>
  <c r="DM24" i="1"/>
  <c r="DL47" i="1"/>
  <c r="DO47" i="1"/>
  <c r="DC67" i="1"/>
  <c r="DI11" i="1"/>
  <c r="DI13" i="1"/>
  <c r="DQ29" i="1"/>
  <c r="CZ38" i="1"/>
  <c r="DQ45" i="1"/>
  <c r="CZ54" i="1"/>
  <c r="DA61" i="1"/>
  <c r="CI65" i="1"/>
  <c r="DH65" i="1"/>
  <c r="DB67" i="1"/>
  <c r="CZ61" i="1"/>
  <c r="DL67" i="1"/>
  <c r="DH6" i="1"/>
  <c r="AS8" i="1"/>
  <c r="CT8" i="1"/>
  <c r="DE13" i="1"/>
  <c r="CT16" i="1"/>
  <c r="DM29" i="1"/>
  <c r="CW29" i="1"/>
  <c r="DN35" i="1"/>
  <c r="DM45" i="1"/>
  <c r="CW45" i="1"/>
  <c r="BR45" i="1"/>
  <c r="CV54" i="1"/>
  <c r="DD62" i="1"/>
  <c r="DM64" i="1"/>
  <c r="CW64" i="1"/>
  <c r="BX64" i="1"/>
  <c r="DD65" i="1"/>
  <c r="CE65" i="1"/>
  <c r="CX67" i="1"/>
  <c r="DG11" i="1"/>
  <c r="DO22" i="1"/>
  <c r="DO35" i="1"/>
  <c r="CY35" i="1"/>
  <c r="DG62" i="1"/>
  <c r="CL64" i="1"/>
  <c r="DK64" i="1"/>
  <c r="DM65" i="1"/>
  <c r="DI15" i="1"/>
  <c r="CG17" i="1"/>
  <c r="DF17" i="1"/>
  <c r="DK18" i="1"/>
  <c r="DN33" i="1"/>
  <c r="CP33" i="1"/>
  <c r="DO33" i="1"/>
  <c r="BU33" i="1"/>
  <c r="CT33" i="1"/>
  <c r="CF33" i="1"/>
  <c r="DE33" i="1"/>
  <c r="CC42" i="1"/>
  <c r="DB42" i="1"/>
  <c r="CT55" i="1"/>
  <c r="DG55" i="1"/>
  <c r="DK60" i="1"/>
  <c r="CX60" i="1"/>
  <c r="CK66" i="1"/>
  <c r="DJ66" i="1"/>
  <c r="CR66" i="1"/>
  <c r="DQ66" i="1"/>
  <c r="CV66" i="1"/>
  <c r="BW66" i="1"/>
  <c r="DC66" i="1"/>
  <c r="CD66" i="1"/>
  <c r="CN66" i="1"/>
  <c r="DM66" i="1"/>
  <c r="DJ15" i="1"/>
  <c r="DQ15" i="1"/>
  <c r="CV15" i="1"/>
  <c r="DC15" i="1"/>
  <c r="CK25" i="1"/>
  <c r="DJ25" i="1"/>
  <c r="CB25" i="1"/>
  <c r="DA25" i="1"/>
  <c r="CF42" i="1"/>
  <c r="DE42" i="1"/>
  <c r="CQ42" i="1"/>
  <c r="DP42" i="1"/>
  <c r="CH16" i="1"/>
  <c r="CK17" i="1"/>
  <c r="DJ17" i="1"/>
  <c r="CB17" i="1"/>
  <c r="DA17" i="1"/>
  <c r="CY44" i="1"/>
  <c r="CK9" i="1"/>
  <c r="DJ9" i="1"/>
  <c r="CB9" i="1"/>
  <c r="DA9" i="1"/>
  <c r="CG25" i="1"/>
  <c r="DF25" i="1"/>
  <c r="BP38" i="1"/>
  <c r="DM44" i="1"/>
  <c r="DH47" i="1"/>
  <c r="DH60" i="1"/>
  <c r="CJ66" i="1"/>
  <c r="DI66" i="1"/>
  <c r="CA16" i="1"/>
  <c r="DP47" i="1"/>
  <c r="BS47" i="1"/>
  <c r="CT47" i="1"/>
  <c r="DA47" i="1"/>
  <c r="DG47" i="1"/>
  <c r="DB47" i="1"/>
  <c r="CV49" i="1"/>
  <c r="DC57" i="1"/>
  <c r="CE57" i="1"/>
  <c r="DD57" i="1"/>
  <c r="CN57" i="1"/>
  <c r="DM57" i="1"/>
  <c r="BX57" i="1"/>
  <c r="CW57" i="1"/>
  <c r="DL44" i="1"/>
  <c r="DQ13" i="1"/>
  <c r="CX22" i="1"/>
  <c r="CO40" i="1"/>
  <c r="DH54" i="1"/>
  <c r="DC11" i="1"/>
  <c r="DQ33" i="1"/>
  <c r="CN42" i="1"/>
  <c r="CV55" i="1"/>
  <c r="DJ60" i="1"/>
  <c r="DL66" i="1"/>
  <c r="CM66" i="1"/>
  <c r="DE15" i="1"/>
  <c r="CG42" i="1"/>
  <c r="DF42" i="1"/>
  <c r="CN17" i="1"/>
  <c r="DM17" i="1"/>
  <c r="DO44" i="1"/>
  <c r="CU44" i="1"/>
  <c r="CE9" i="1"/>
  <c r="DD9" i="1"/>
  <c r="CT36" i="1"/>
  <c r="BQ36" i="1"/>
  <c r="BV57" i="1"/>
  <c r="CU57" i="1"/>
  <c r="DQ47" i="1"/>
  <c r="DP6" i="1"/>
  <c r="DM20" i="1"/>
  <c r="DJ24" i="1"/>
  <c r="DE45" i="1"/>
  <c r="DO11" i="1"/>
  <c r="CT23" i="1"/>
  <c r="CN33" i="1"/>
  <c r="DM33" i="1"/>
  <c r="DI47" i="1"/>
  <c r="CL50" i="1"/>
  <c r="DK50" i="1"/>
  <c r="CG66" i="1"/>
  <c r="DF66" i="1"/>
  <c r="CZ67" i="1"/>
  <c r="DK15" i="1"/>
  <c r="BZ25" i="1"/>
  <c r="CY25" i="1"/>
  <c r="CP42" i="1"/>
  <c r="DO42" i="1"/>
  <c r="CI42" i="1"/>
  <c r="DH42" i="1"/>
  <c r="BY17" i="1"/>
  <c r="CX17" i="1"/>
  <c r="CZ36" i="1"/>
  <c r="AX63" i="1"/>
  <c r="BI63" i="1"/>
  <c r="BM63" i="1"/>
  <c r="DO63" i="1"/>
  <c r="BE63" i="1"/>
  <c r="BR11" i="1"/>
  <c r="DB15" i="1"/>
  <c r="CM24" i="1"/>
  <c r="DL24" i="1"/>
  <c r="CZ25" i="1"/>
  <c r="CA25" i="1"/>
  <c r="DE47" i="1"/>
  <c r="CY47" i="1"/>
  <c r="DI20" i="1"/>
  <c r="CG24" i="1"/>
  <c r="DA45" i="1"/>
  <c r="CR64" i="1"/>
  <c r="DQ64" i="1"/>
  <c r="CU11" i="1"/>
  <c r="CX15" i="1"/>
  <c r="BV17" i="1"/>
  <c r="CU17" i="1"/>
  <c r="BY33" i="1"/>
  <c r="CX33" i="1"/>
  <c r="CY33" i="1"/>
  <c r="CJ33" i="1"/>
  <c r="DI33" i="1"/>
  <c r="DG44" i="1"/>
  <c r="BZ48" i="1"/>
  <c r="CG50" i="1"/>
  <c r="DF50" i="1"/>
  <c r="CM50" i="1"/>
  <c r="DL50" i="1"/>
  <c r="BW50" i="1"/>
  <c r="CV50" i="1"/>
  <c r="CZ55" i="1"/>
  <c r="DK55" i="1"/>
  <c r="DP60" i="1"/>
  <c r="DB60" i="1"/>
  <c r="DP66" i="1"/>
  <c r="CQ66" i="1"/>
  <c r="BU66" i="1"/>
  <c r="BR66" i="1"/>
  <c r="CT66" i="1"/>
  <c r="CB66" i="1"/>
  <c r="DA66" i="1"/>
  <c r="DG66" i="1"/>
  <c r="CH66" i="1"/>
  <c r="CC66" i="1"/>
  <c r="DB66" i="1"/>
  <c r="DP15" i="1"/>
  <c r="CT15" i="1"/>
  <c r="DA15" i="1"/>
  <c r="DG15" i="1"/>
  <c r="CK42" i="1"/>
  <c r="DJ42" i="1"/>
  <c r="CR42" i="1"/>
  <c r="DQ42" i="1"/>
  <c r="BV42" i="1"/>
  <c r="CU42" i="1"/>
  <c r="CE42" i="1"/>
  <c r="DD42" i="1"/>
  <c r="CO17" i="1"/>
  <c r="DN17" i="1"/>
  <c r="CP17" i="1"/>
  <c r="DO17" i="1"/>
  <c r="BU17" i="1"/>
  <c r="CT17" i="1"/>
  <c r="BR17" i="1"/>
  <c r="CF17" i="1"/>
  <c r="DE17" i="1"/>
  <c r="DD44" i="1"/>
  <c r="DJ44" i="1"/>
  <c r="DL48" i="1"/>
  <c r="DM48" i="1"/>
  <c r="DO9" i="1"/>
  <c r="CF9" i="1"/>
  <c r="DE9" i="1"/>
  <c r="CJ24" i="1"/>
  <c r="DI24" i="1"/>
  <c r="DP36" i="1"/>
  <c r="CV40" i="1"/>
  <c r="BX40" i="1"/>
  <c r="CJ42" i="1"/>
  <c r="DI42" i="1"/>
  <c r="CW47" i="1"/>
  <c r="CQ57" i="1"/>
  <c r="DP57" i="1"/>
  <c r="DM15" i="1"/>
  <c r="CH17" i="1"/>
  <c r="DG17" i="1"/>
  <c r="DF47" i="1"/>
  <c r="CU47" i="1"/>
  <c r="CL48" i="1"/>
  <c r="DK48" i="1"/>
  <c r="CK57" i="1"/>
  <c r="DJ57" i="1"/>
  <c r="CB57" i="1"/>
  <c r="DA57" i="1"/>
  <c r="CW67" i="1"/>
  <c r="DG63" i="1"/>
  <c r="AT8" i="1"/>
  <c r="BV8" i="1"/>
  <c r="CU8" i="1"/>
  <c r="CV8" i="1"/>
  <c r="F8" i="8"/>
  <c r="F10" i="8"/>
  <c r="F12" i="8"/>
  <c r="F13" i="8"/>
  <c r="F17" i="8"/>
  <c r="F18" i="8"/>
  <c r="F19" i="8"/>
  <c r="F21" i="8"/>
  <c r="F23" i="8"/>
  <c r="F24" i="8"/>
  <c r="F25" i="8"/>
  <c r="F26" i="8"/>
  <c r="F27" i="8"/>
  <c r="F30" i="8"/>
  <c r="F33" i="8"/>
  <c r="F6" i="8"/>
  <c r="E13" i="9"/>
  <c r="G33" i="8"/>
  <c r="G6" i="8"/>
  <c r="F13" i="9"/>
  <c r="E154" i="3"/>
  <c r="B145" i="3"/>
  <c r="C12" i="8"/>
  <c r="C23" i="8"/>
  <c r="C9" i="8"/>
  <c r="C20" i="8"/>
  <c r="L154" i="3"/>
  <c r="J9" i="9"/>
  <c r="CE44" i="1"/>
  <c r="E149" i="3"/>
  <c r="E139" i="3"/>
  <c r="E142" i="3"/>
  <c r="E9" i="9"/>
  <c r="E133" i="3"/>
  <c r="L147" i="3"/>
  <c r="E137" i="3"/>
  <c r="CJ17" i="1"/>
  <c r="CJ25" i="1"/>
  <c r="CN9" i="1"/>
  <c r="CI33" i="1"/>
  <c r="BV9" i="1"/>
  <c r="I149" i="3"/>
  <c r="I139" i="3"/>
  <c r="I154" i="3"/>
  <c r="I142" i="3"/>
  <c r="I9" i="9"/>
  <c r="C27" i="8"/>
  <c r="I33" i="8"/>
  <c r="I6" i="8"/>
  <c r="H13" i="9"/>
  <c r="E147" i="3"/>
  <c r="F154" i="3"/>
  <c r="L139" i="3"/>
  <c r="F132" i="3"/>
  <c r="B148" i="3"/>
  <c r="F152" i="3"/>
  <c r="F143" i="3"/>
  <c r="E153" i="3"/>
  <c r="E140" i="3"/>
  <c r="F142" i="3"/>
  <c r="F145" i="3"/>
  <c r="E150" i="3"/>
  <c r="F141" i="3"/>
  <c r="F137" i="3"/>
  <c r="B153" i="3"/>
  <c r="M33" i="8"/>
  <c r="M6" i="8"/>
  <c r="L13" i="9"/>
  <c r="E143" i="3"/>
  <c r="F148" i="3"/>
  <c r="E136" i="3"/>
  <c r="B140" i="3"/>
  <c r="CH44" i="1"/>
  <c r="CD33" i="1"/>
  <c r="BX17" i="1"/>
  <c r="CA9" i="1"/>
  <c r="B134" i="3"/>
  <c r="B143" i="3"/>
  <c r="L141" i="3"/>
  <c r="H150" i="3"/>
  <c r="E135" i="3"/>
  <c r="BY65" i="1"/>
  <c r="B154" i="3"/>
  <c r="CK19" i="1"/>
  <c r="E152" i="3"/>
  <c r="E141" i="3"/>
  <c r="E148" i="3"/>
  <c r="CM17" i="1"/>
  <c r="CB33" i="1"/>
  <c r="CG33" i="1"/>
  <c r="F149" i="3"/>
  <c r="E134" i="3"/>
  <c r="CR16" i="1"/>
  <c r="BM56" i="1"/>
  <c r="DO56" i="1"/>
  <c r="AW56" i="1"/>
  <c r="CY56" i="1"/>
  <c r="AV56" i="1"/>
  <c r="BY56" i="1"/>
  <c r="BE56" i="1"/>
  <c r="DG56" i="1"/>
  <c r="AU56" i="1"/>
  <c r="CW56" i="1"/>
  <c r="BG56" i="1"/>
  <c r="DI56" i="1"/>
  <c r="AO56" i="1"/>
  <c r="BO56" i="1"/>
  <c r="DQ56" i="1"/>
  <c r="BB56" i="1"/>
  <c r="CE56" i="1"/>
  <c r="BN56" i="1"/>
  <c r="DP56" i="1"/>
  <c r="AR56" i="1"/>
  <c r="CT56" i="1"/>
  <c r="BJ56" i="1"/>
  <c r="CM56" i="1"/>
  <c r="AY56" i="1"/>
  <c r="DA56" i="1"/>
  <c r="AS56" i="1"/>
  <c r="BD56" i="1"/>
  <c r="DF56" i="1"/>
  <c r="AX56" i="1"/>
  <c r="CA56" i="1"/>
  <c r="BF56" i="1"/>
  <c r="DH56" i="1"/>
  <c r="AZ56" i="1"/>
  <c r="BA56" i="1"/>
  <c r="DC56" i="1"/>
  <c r="BH56" i="1"/>
  <c r="CK56" i="1"/>
  <c r="AT56" i="1"/>
  <c r="BW56" i="1"/>
  <c r="BK56" i="1"/>
  <c r="BI56" i="1"/>
  <c r="DK56" i="1"/>
  <c r="BL56" i="1"/>
  <c r="CO56" i="1"/>
  <c r="AP56" i="1"/>
  <c r="G132" i="3"/>
  <c r="C11" i="8"/>
  <c r="C17" i="8"/>
  <c r="C30" i="8"/>
  <c r="C19" i="8"/>
  <c r="I138" i="3"/>
  <c r="H134" i="3"/>
  <c r="C24" i="8"/>
  <c r="CC6" i="1"/>
  <c r="CQ6" i="1"/>
  <c r="CP62" i="1"/>
  <c r="BW62" i="1"/>
  <c r="C10" i="8"/>
  <c r="J131" i="3"/>
  <c r="J11" i="9"/>
  <c r="J155" i="3"/>
  <c r="C16" i="8"/>
  <c r="B138" i="3"/>
  <c r="H140" i="3"/>
  <c r="D143" i="3"/>
  <c r="B147" i="3"/>
  <c r="C21" i="8"/>
  <c r="C14" i="8"/>
  <c r="E131" i="3"/>
  <c r="E11" i="9"/>
  <c r="BY38" i="1"/>
  <c r="CJ38" i="1"/>
  <c r="C13" i="8"/>
  <c r="B133" i="3"/>
  <c r="O33" i="8"/>
  <c r="O6" i="8"/>
  <c r="N13" i="9"/>
  <c r="C8" i="8"/>
  <c r="H136" i="3"/>
  <c r="H146" i="3"/>
  <c r="BU60" i="1"/>
  <c r="CQ60" i="1"/>
  <c r="CH60" i="1"/>
  <c r="C28" i="8"/>
  <c r="M154" i="3"/>
  <c r="CO11" i="1"/>
  <c r="BY11" i="1"/>
  <c r="CM11" i="1"/>
  <c r="BY22" i="1"/>
  <c r="CJ22" i="1"/>
  <c r="BV22" i="1"/>
  <c r="BW22" i="1"/>
  <c r="CN22" i="1"/>
  <c r="CM67" i="1"/>
  <c r="CQ67" i="1"/>
  <c r="BX67" i="1"/>
  <c r="K138" i="3"/>
  <c r="H153" i="3"/>
  <c r="K33" i="8"/>
  <c r="K6" i="8"/>
  <c r="J13" i="9"/>
  <c r="C147" i="3"/>
  <c r="M153" i="3"/>
  <c r="M132" i="3"/>
  <c r="CE60" i="1"/>
  <c r="K146" i="3"/>
  <c r="B139" i="3"/>
  <c r="H145" i="3"/>
  <c r="D33" i="8"/>
  <c r="D6" i="8"/>
  <c r="C13" i="9"/>
  <c r="CM45" i="1"/>
  <c r="BX45" i="1"/>
  <c r="CB61" i="1"/>
  <c r="CA61" i="1"/>
  <c r="C25" i="8"/>
  <c r="CC44" i="1"/>
  <c r="CN44" i="1"/>
  <c r="BZ44" i="1"/>
  <c r="CM44" i="1"/>
  <c r="CQ44" i="1"/>
  <c r="D152" i="3"/>
  <c r="D150" i="3"/>
  <c r="D134" i="3"/>
  <c r="D142" i="3"/>
  <c r="CN54" i="1"/>
  <c r="H137" i="3"/>
  <c r="CI60" i="1"/>
  <c r="CN13" i="1"/>
  <c r="G140" i="3"/>
  <c r="N33" i="8"/>
  <c r="N6" i="8"/>
  <c r="M13" i="9"/>
  <c r="G133" i="3"/>
  <c r="CK44" i="1"/>
  <c r="G143" i="3"/>
  <c r="D146" i="3"/>
  <c r="M148" i="3"/>
  <c r="CL11" i="1"/>
  <c r="B150" i="3"/>
  <c r="F139" i="3"/>
  <c r="F9" i="9"/>
  <c r="E33" i="8"/>
  <c r="E6" i="8"/>
  <c r="D13" i="9"/>
  <c r="H33" i="8"/>
  <c r="H6" i="8"/>
  <c r="G13" i="9"/>
  <c r="G149" i="3"/>
  <c r="G139" i="3"/>
  <c r="G154" i="3"/>
  <c r="G142" i="3"/>
  <c r="G9" i="9"/>
  <c r="H142" i="3"/>
  <c r="H141" i="3"/>
  <c r="H139" i="3"/>
  <c r="H138" i="3"/>
  <c r="H132" i="3"/>
  <c r="L148" i="3"/>
  <c r="L146" i="3"/>
  <c r="L135" i="3"/>
  <c r="I132" i="3"/>
  <c r="F133" i="3"/>
  <c r="L33" i="8"/>
  <c r="L6" i="8"/>
  <c r="K13" i="9"/>
  <c r="CP44" i="1"/>
  <c r="G145" i="3"/>
  <c r="B141" i="3"/>
  <c r="B132" i="3"/>
  <c r="BY60" i="1"/>
  <c r="G135" i="3"/>
  <c r="CN20" i="1"/>
  <c r="CP35" i="1"/>
  <c r="CD22" i="1"/>
  <c r="CR45" i="1"/>
  <c r="M137" i="3"/>
  <c r="CA45" i="1"/>
  <c r="K142" i="3"/>
  <c r="H135" i="3"/>
  <c r="H152" i="3"/>
  <c r="H154" i="3"/>
  <c r="B152" i="3"/>
  <c r="CK60" i="1"/>
  <c r="C33" i="8"/>
  <c r="C6" i="8"/>
  <c r="B13" i="9"/>
  <c r="B146" i="3"/>
  <c r="BW8" i="1"/>
  <c r="BZ33" i="1"/>
  <c r="CH63" i="1"/>
  <c r="BX25" i="1"/>
  <c r="CR33" i="1"/>
  <c r="CN64" i="1"/>
  <c r="BY25" i="1"/>
  <c r="CS40" i="1"/>
  <c r="BW33" i="1"/>
  <c r="CL17" i="1"/>
  <c r="CS38" i="1"/>
  <c r="CE7" i="1"/>
  <c r="CB7" i="1"/>
  <c r="CP7" i="1"/>
  <c r="CQ7" i="1"/>
  <c r="BX7" i="1"/>
  <c r="CA7" i="1"/>
  <c r="BU7" i="1"/>
  <c r="CN7" i="1"/>
  <c r="CH7" i="1"/>
  <c r="CL7" i="1"/>
  <c r="CI55" i="1"/>
  <c r="CD55" i="1"/>
  <c r="CL55" i="1"/>
  <c r="CE55" i="1"/>
  <c r="CH55" i="1"/>
  <c r="BU55" i="1"/>
  <c r="BW55" i="1"/>
  <c r="AU8" i="1"/>
  <c r="DH49" i="1"/>
  <c r="CI49" i="1"/>
  <c r="CC61" i="1"/>
  <c r="DB61" i="1"/>
  <c r="CR26" i="1"/>
  <c r="DQ26" i="1"/>
  <c r="BW11" i="1"/>
  <c r="CV11" i="1"/>
  <c r="BQ11" i="1"/>
  <c r="BS11" i="1"/>
  <c r="BT11" i="1"/>
  <c r="BP11" i="1"/>
  <c r="CS11" i="1"/>
  <c r="DC18" i="1"/>
  <c r="CD18" i="1"/>
  <c r="CP32" i="1"/>
  <c r="DO32" i="1"/>
  <c r="BY7" i="1"/>
  <c r="BU47" i="1"/>
  <c r="CA42" i="1"/>
  <c r="CZ42" i="1"/>
  <c r="BP42" i="1"/>
  <c r="CS42" i="1"/>
  <c r="BR42" i="1"/>
  <c r="BQ42" i="1"/>
  <c r="CA63" i="1"/>
  <c r="CZ63" i="1"/>
  <c r="CT52" i="1"/>
  <c r="DE57" i="1"/>
  <c r="CF57" i="1"/>
  <c r="DG50" i="1"/>
  <c r="CH50" i="1"/>
  <c r="AP58" i="1"/>
  <c r="AR58" i="1"/>
  <c r="AO58" i="1"/>
  <c r="BW48" i="1"/>
  <c r="CO48" i="1"/>
  <c r="CT48" i="1"/>
  <c r="BU48" i="1"/>
  <c r="DJ48" i="1"/>
  <c r="DA48" i="1"/>
  <c r="CY48" i="1"/>
  <c r="CN48" i="1"/>
  <c r="CM48" i="1"/>
  <c r="DN48" i="1"/>
  <c r="CB48" i="1"/>
  <c r="CV48" i="1"/>
  <c r="CK48" i="1"/>
  <c r="BH46" i="1"/>
  <c r="BN46" i="1"/>
  <c r="BD46" i="1"/>
  <c r="BO46" i="1"/>
  <c r="BJ46" i="1"/>
  <c r="BG46" i="1"/>
  <c r="AY46" i="1"/>
  <c r="BL46" i="1"/>
  <c r="AV46" i="1"/>
  <c r="BF46" i="1"/>
  <c r="BA46" i="1"/>
  <c r="AS46" i="1"/>
  <c r="BK46" i="1"/>
  <c r="BI46" i="1"/>
  <c r="AX46" i="1"/>
  <c r="AU46" i="1"/>
  <c r="BC46" i="1"/>
  <c r="BM46" i="1"/>
  <c r="AT46" i="1"/>
  <c r="AW46" i="1"/>
  <c r="BE46" i="1"/>
  <c r="AR46" i="1"/>
  <c r="AZ46" i="1"/>
  <c r="BB46" i="1"/>
  <c r="AP43" i="1"/>
  <c r="BC43" i="1"/>
  <c r="BI43" i="1"/>
  <c r="BJ43" i="1"/>
  <c r="BE43" i="1"/>
  <c r="AO43" i="1"/>
  <c r="BB43" i="1"/>
  <c r="AV43" i="1"/>
  <c r="BM43" i="1"/>
  <c r="AR43" i="1"/>
  <c r="BK43" i="1"/>
  <c r="CL40" i="1"/>
  <c r="CJ40" i="1"/>
  <c r="CZ40" i="1"/>
  <c r="CP40" i="1"/>
  <c r="DP40" i="1"/>
  <c r="CA40" i="1"/>
  <c r="DK40" i="1"/>
  <c r="CU40" i="1"/>
  <c r="BY40" i="1"/>
  <c r="BV40" i="1"/>
  <c r="CC40" i="1"/>
  <c r="CM40" i="1"/>
  <c r="DI40" i="1"/>
  <c r="DL40" i="1"/>
  <c r="CH40" i="1"/>
  <c r="DA40" i="1"/>
  <c r="BZ40" i="1"/>
  <c r="CT40" i="1"/>
  <c r="DG40" i="1"/>
  <c r="DJ40" i="1"/>
  <c r="CB40" i="1"/>
  <c r="CQ40" i="1"/>
  <c r="DE40" i="1"/>
  <c r="DC40" i="1"/>
  <c r="DN40" i="1"/>
  <c r="BW40" i="1"/>
  <c r="CI40" i="1"/>
  <c r="CN40" i="1"/>
  <c r="DF40" i="1"/>
  <c r="DQ40" i="1"/>
  <c r="DD40" i="1"/>
  <c r="DB40" i="1"/>
  <c r="CD40" i="1"/>
  <c r="CF40" i="1"/>
  <c r="CX40" i="1"/>
  <c r="CG40" i="1"/>
  <c r="CR40" i="1"/>
  <c r="DO40" i="1"/>
  <c r="BU40" i="1"/>
  <c r="CK40" i="1"/>
  <c r="DH40" i="1"/>
  <c r="DM40" i="1"/>
  <c r="CW40" i="1"/>
  <c r="DJ38" i="1"/>
  <c r="DN38" i="1"/>
  <c r="DO38" i="1"/>
  <c r="DG38" i="1"/>
  <c r="DH38" i="1"/>
  <c r="DD38" i="1"/>
  <c r="DP38" i="1"/>
  <c r="CY38" i="1"/>
  <c r="DE38" i="1"/>
  <c r="DA38" i="1"/>
  <c r="DI38" i="1"/>
  <c r="DC38" i="1"/>
  <c r="CM38" i="1"/>
  <c r="CT38" i="1"/>
  <c r="CV38" i="1"/>
  <c r="CW38" i="1"/>
  <c r="DL38" i="1"/>
  <c r="CV36" i="1"/>
  <c r="CY36" i="1"/>
  <c r="CW36" i="1"/>
  <c r="CK36" i="1"/>
  <c r="CG36" i="1"/>
  <c r="DK36" i="1"/>
  <c r="DD36" i="1"/>
  <c r="BZ36" i="1"/>
  <c r="CL36" i="1"/>
  <c r="DC36" i="1"/>
  <c r="BX36" i="1"/>
  <c r="CE36" i="1"/>
  <c r="DI36" i="1"/>
  <c r="DE36" i="1"/>
  <c r="CX36" i="1"/>
  <c r="BU36" i="1"/>
  <c r="CA36" i="1"/>
  <c r="CC36" i="1"/>
  <c r="BY36" i="1"/>
  <c r="DO36" i="1"/>
  <c r="DB36" i="1"/>
  <c r="DF36" i="1"/>
  <c r="DN36" i="1"/>
  <c r="CP36" i="1"/>
  <c r="CJ36" i="1"/>
  <c r="CN36" i="1"/>
  <c r="CO36" i="1"/>
  <c r="CF36" i="1"/>
  <c r="CU36" i="1"/>
  <c r="BV36" i="1"/>
  <c r="AO34" i="1"/>
  <c r="AX34" i="1"/>
  <c r="BI34" i="1"/>
  <c r="AV34" i="1"/>
  <c r="AT34" i="1"/>
  <c r="BD34" i="1"/>
  <c r="BG34" i="1"/>
  <c r="AY34" i="1"/>
  <c r="BM34" i="1"/>
  <c r="BN34" i="1"/>
  <c r="BC34" i="1"/>
  <c r="BE34" i="1"/>
  <c r="BL34" i="1"/>
  <c r="BF34" i="1"/>
  <c r="BB34" i="1"/>
  <c r="BK34" i="1"/>
  <c r="BA34" i="1"/>
  <c r="BH34" i="1"/>
  <c r="AR34" i="1"/>
  <c r="AW34" i="1"/>
  <c r="BO34" i="1"/>
  <c r="BJ34" i="1"/>
  <c r="AZ34" i="1"/>
  <c r="AS34" i="1"/>
  <c r="AU34" i="1"/>
  <c r="DE7" i="1"/>
  <c r="BR47" i="1"/>
  <c r="BT47" i="1"/>
  <c r="CI17" i="1"/>
  <c r="BQ17" i="1"/>
  <c r="DH17" i="1"/>
  <c r="BP17" i="1"/>
  <c r="CS17" i="1"/>
  <c r="DP43" i="1"/>
  <c r="CQ43" i="1"/>
  <c r="BY31" i="1"/>
  <c r="CX31" i="1"/>
  <c r="DB24" i="1"/>
  <c r="CC24" i="1"/>
  <c r="CV19" i="1"/>
  <c r="BW19" i="1"/>
  <c r="CL63" i="1"/>
  <c r="DK63" i="1"/>
  <c r="CX63" i="1"/>
  <c r="BY63" i="1"/>
  <c r="CZ51" i="1"/>
  <c r="CA51" i="1"/>
  <c r="DQ41" i="1"/>
  <c r="CR41" i="1"/>
  <c r="CT37" i="1"/>
  <c r="BU37" i="1"/>
  <c r="BI30" i="1"/>
  <c r="AX30" i="1"/>
  <c r="BA30" i="1"/>
  <c r="AT30" i="1"/>
  <c r="BH30" i="1"/>
  <c r="BD30" i="1"/>
  <c r="AO30" i="1"/>
  <c r="AW30" i="1"/>
  <c r="BN30" i="1"/>
  <c r="AZ30" i="1"/>
  <c r="AV30" i="1"/>
  <c r="AY30" i="1"/>
  <c r="AS30" i="1"/>
  <c r="BM30" i="1"/>
  <c r="BL30" i="1"/>
  <c r="BG30" i="1"/>
  <c r="AR30" i="1"/>
  <c r="BJ30" i="1"/>
  <c r="BK30" i="1"/>
  <c r="BC30" i="1"/>
  <c r="BE30" i="1"/>
  <c r="BO30" i="1"/>
  <c r="BB30" i="1"/>
  <c r="AU30" i="1"/>
  <c r="AP30" i="1"/>
  <c r="BF30" i="1"/>
  <c r="CA55" i="1"/>
  <c r="DK42" i="1"/>
  <c r="CL42" i="1"/>
  <c r="DQ17" i="1"/>
  <c r="CR17" i="1"/>
  <c r="AO5" i="1"/>
  <c r="AZ5" i="1"/>
  <c r="BM5" i="1"/>
  <c r="AY5" i="1"/>
  <c r="BB5" i="1"/>
  <c r="AP5" i="1"/>
  <c r="AW5" i="1"/>
  <c r="AT5" i="1"/>
  <c r="BN5" i="1"/>
  <c r="BA5" i="1"/>
  <c r="BD5" i="1"/>
  <c r="BH5" i="1"/>
  <c r="BE5" i="1"/>
  <c r="AV5" i="1"/>
  <c r="BK5" i="1"/>
  <c r="CI15" i="1"/>
  <c r="CK15" i="1"/>
  <c r="CQ15" i="1"/>
  <c r="CO15" i="1"/>
  <c r="BV15" i="1"/>
  <c r="CD15" i="1"/>
  <c r="CG15" i="1"/>
  <c r="CJ15" i="1"/>
  <c r="BW15" i="1"/>
  <c r="BY15" i="1"/>
  <c r="BU15" i="1"/>
  <c r="CA15" i="1"/>
  <c r="CP15" i="1"/>
  <c r="CR15" i="1"/>
  <c r="CN15" i="1"/>
  <c r="CF15" i="1"/>
  <c r="CC15" i="1"/>
  <c r="CL15" i="1"/>
  <c r="CH15" i="1"/>
  <c r="CE47" i="1"/>
  <c r="CH47" i="1"/>
  <c r="BZ47" i="1"/>
  <c r="CM47" i="1"/>
  <c r="CF47" i="1"/>
  <c r="CB47" i="1"/>
  <c r="BV47" i="1"/>
  <c r="BY47" i="1"/>
  <c r="CC47" i="1"/>
  <c r="CJ47" i="1"/>
  <c r="CD47" i="1"/>
  <c r="CQ47" i="1"/>
  <c r="CP47" i="1"/>
  <c r="CI47" i="1"/>
  <c r="BX47" i="1"/>
  <c r="CG47" i="1"/>
  <c r="CR47" i="1"/>
  <c r="DK39" i="1"/>
  <c r="CL39" i="1"/>
  <c r="BZ51" i="1"/>
  <c r="CY51" i="1"/>
  <c r="CG64" i="1"/>
  <c r="DF64" i="1"/>
  <c r="CR4" i="1"/>
  <c r="DQ4" i="1"/>
  <c r="BU23" i="1"/>
  <c r="CY50" i="1"/>
  <c r="BZ50" i="1"/>
  <c r="DJ55" i="1"/>
  <c r="CK55" i="1"/>
  <c r="DM55" i="1"/>
  <c r="CN55" i="1"/>
  <c r="CF60" i="1"/>
  <c r="DE60" i="1"/>
  <c r="BS66" i="1"/>
  <c r="BT66" i="1"/>
  <c r="CA66" i="1"/>
  <c r="BQ66" i="1"/>
  <c r="BP66" i="1"/>
  <c r="CS66" i="1"/>
  <c r="CZ66" i="1"/>
  <c r="DK66" i="1"/>
  <c r="CL66" i="1"/>
  <c r="DL15" i="1"/>
  <c r="CM15" i="1"/>
  <c r="BS15" i="1"/>
  <c r="BR15" i="1"/>
  <c r="BT15" i="1"/>
  <c r="BQ15" i="1"/>
  <c r="CY15" i="1"/>
  <c r="BP15" i="1"/>
  <c r="CS15" i="1"/>
  <c r="BZ15" i="1"/>
  <c r="CX21" i="1"/>
  <c r="BY21" i="1"/>
  <c r="AO23" i="1"/>
  <c r="BA23" i="1"/>
  <c r="BO23" i="1"/>
  <c r="AU23" i="1"/>
  <c r="AW23" i="1"/>
  <c r="BJ23" i="1"/>
  <c r="AP23" i="1"/>
  <c r="BB23" i="1"/>
  <c r="AS23" i="1"/>
  <c r="AT23" i="1"/>
  <c r="AV23" i="1"/>
  <c r="AX23" i="1"/>
  <c r="AY23" i="1"/>
  <c r="AZ23" i="1"/>
  <c r="BC23" i="1"/>
  <c r="BD23" i="1"/>
  <c r="BE23" i="1"/>
  <c r="BF23" i="1"/>
  <c r="BG23" i="1"/>
  <c r="BH23" i="1"/>
  <c r="BI23" i="1"/>
  <c r="BK23" i="1"/>
  <c r="BL23" i="1"/>
  <c r="BM23" i="1"/>
  <c r="BN23" i="1"/>
  <c r="BP23" i="1"/>
  <c r="CS23" i="1"/>
  <c r="DC21" i="1"/>
  <c r="DD21" i="1"/>
  <c r="DJ21" i="1"/>
  <c r="DP21" i="1"/>
  <c r="CE21" i="1"/>
  <c r="CK21" i="1"/>
  <c r="CQ21" i="1"/>
  <c r="DB21" i="1"/>
  <c r="CC21" i="1"/>
  <c r="CL21" i="1"/>
  <c r="DM21" i="1"/>
  <c r="DK21" i="1"/>
  <c r="CX18" i="1"/>
  <c r="BU18" i="1"/>
  <c r="DE18" i="1"/>
  <c r="CZ18" i="1"/>
  <c r="DD18" i="1"/>
  <c r="DP18" i="1"/>
  <c r="CI18" i="1"/>
  <c r="CF18" i="1"/>
  <c r="DH18" i="1"/>
  <c r="CR18" i="1"/>
  <c r="CE18" i="1"/>
  <c r="CQ18" i="1"/>
  <c r="CJ18" i="1"/>
  <c r="DQ18" i="1"/>
  <c r="CT18" i="1"/>
  <c r="CA18" i="1"/>
  <c r="AP14" i="1"/>
  <c r="AR14" i="1"/>
  <c r="AV12" i="1"/>
  <c r="BI12" i="1"/>
  <c r="BE12" i="1"/>
  <c r="AR12" i="1"/>
  <c r="BC12" i="1"/>
  <c r="AU12" i="1"/>
  <c r="BO12" i="1"/>
  <c r="AX12" i="1"/>
  <c r="BF12" i="1"/>
  <c r="BA12" i="1"/>
  <c r="BL12" i="1"/>
  <c r="BG12" i="1"/>
  <c r="BD12" i="1"/>
  <c r="BJ12" i="1"/>
  <c r="AZ12" i="1"/>
  <c r="AO12" i="1"/>
  <c r="AY12" i="1"/>
  <c r="BM12" i="1"/>
  <c r="AW12" i="1"/>
  <c r="BH12" i="1"/>
  <c r="BK12" i="1"/>
  <c r="AT12" i="1"/>
  <c r="BB12" i="1"/>
  <c r="AS12" i="1"/>
  <c r="BN12" i="1"/>
  <c r="AT10" i="1"/>
  <c r="BD10" i="1"/>
  <c r="AV10" i="1"/>
  <c r="BL10" i="1"/>
  <c r="BA10" i="1"/>
  <c r="AY10" i="1"/>
  <c r="BM10" i="1"/>
  <c r="BG10" i="1"/>
  <c r="AO10" i="1"/>
  <c r="AS10" i="1"/>
  <c r="BH10" i="1"/>
  <c r="BE10" i="1"/>
  <c r="BJ10" i="1"/>
  <c r="AW10" i="1"/>
  <c r="BO10" i="1"/>
  <c r="BI10" i="1"/>
  <c r="BN10" i="1"/>
  <c r="BB10" i="1"/>
  <c r="BK10" i="1"/>
  <c r="AZ10" i="1"/>
  <c r="BC10" i="1"/>
  <c r="AU10" i="1"/>
  <c r="AX10" i="1"/>
  <c r="AR10" i="1"/>
  <c r="BF10" i="1"/>
  <c r="CW7" i="1"/>
  <c r="CZ7" i="1"/>
  <c r="DD7" i="1"/>
  <c r="CT7" i="1"/>
  <c r="DG7" i="1"/>
  <c r="DM7" i="1"/>
  <c r="DP7" i="1"/>
  <c r="DK7" i="1"/>
  <c r="DA7" i="1"/>
  <c r="BS17" i="1"/>
  <c r="BT17" i="1"/>
  <c r="CK32" i="1"/>
  <c r="DJ32" i="1"/>
  <c r="BU4" i="1"/>
  <c r="BQ54" i="1"/>
  <c r="BV54" i="1"/>
  <c r="CU54" i="1"/>
  <c r="BP54" i="1"/>
  <c r="CS54" i="1"/>
  <c r="BS54" i="1"/>
  <c r="DK20" i="1"/>
  <c r="CL20" i="1"/>
  <c r="CH36" i="1"/>
  <c r="DG36" i="1"/>
  <c r="BP36" i="1"/>
  <c r="CS36" i="1"/>
  <c r="BV33" i="1"/>
  <c r="CU33" i="1"/>
  <c r="BQ33" i="1"/>
  <c r="BR33" i="1"/>
  <c r="BS33" i="1"/>
  <c r="BP33" i="1"/>
  <c r="CS33" i="1"/>
  <c r="BY29" i="1"/>
  <c r="CX29" i="1"/>
  <c r="DJ22" i="1"/>
  <c r="CK22" i="1"/>
  <c r="BK49" i="1"/>
  <c r="BA49" i="1"/>
  <c r="BG49" i="1"/>
  <c r="AV49" i="1"/>
  <c r="AP49" i="1"/>
  <c r="AO49" i="1"/>
  <c r="BC49" i="1"/>
  <c r="BM49" i="1"/>
  <c r="BI49" i="1"/>
  <c r="AU49" i="1"/>
  <c r="BB49" i="1"/>
  <c r="BJ49" i="1"/>
  <c r="AR49" i="1"/>
  <c r="BE49" i="1"/>
  <c r="BO49" i="1"/>
  <c r="AX49" i="1"/>
  <c r="AY49" i="1"/>
  <c r="BL49" i="1"/>
  <c r="BD49" i="1"/>
  <c r="BH49" i="1"/>
  <c r="AW49" i="1"/>
  <c r="BN49" i="1"/>
  <c r="AV26" i="1"/>
  <c r="AY26" i="1"/>
  <c r="BM26" i="1"/>
  <c r="AU26" i="1"/>
  <c r="BK26" i="1"/>
  <c r="AS26" i="1"/>
  <c r="BH26" i="1"/>
  <c r="AP26" i="1"/>
  <c r="BN26" i="1"/>
  <c r="BC26" i="1"/>
  <c r="AO26" i="1"/>
  <c r="BF26" i="1"/>
  <c r="AR26" i="1"/>
  <c r="BI26" i="1"/>
  <c r="BD26" i="1"/>
  <c r="BJ26" i="1"/>
  <c r="BA26" i="1"/>
  <c r="BE26" i="1"/>
  <c r="AX26" i="1"/>
  <c r="BL26" i="1"/>
  <c r="AZ26" i="1"/>
  <c r="AW26" i="1"/>
  <c r="BB26" i="1"/>
  <c r="BU13" i="1"/>
  <c r="BV13" i="1"/>
  <c r="CI13" i="1"/>
  <c r="CP13" i="1"/>
  <c r="CA13" i="1"/>
  <c r="CM13" i="1"/>
  <c r="CL13" i="1"/>
  <c r="CK13" i="1"/>
  <c r="CB13" i="1"/>
  <c r="BY13" i="1"/>
  <c r="CR13" i="1"/>
  <c r="BW13" i="1"/>
  <c r="CJ13" i="1"/>
  <c r="CO13" i="1"/>
  <c r="CF13" i="1"/>
  <c r="BW20" i="1"/>
  <c r="CI20" i="1"/>
  <c r="CH20" i="1"/>
  <c r="CP20" i="1"/>
  <c r="CA20" i="1"/>
  <c r="CF20" i="1"/>
  <c r="CG20" i="1"/>
  <c r="CR20" i="1"/>
  <c r="CJ20" i="1"/>
  <c r="BU20" i="1"/>
  <c r="CC20" i="1"/>
  <c r="CA29" i="1"/>
  <c r="CR29" i="1"/>
  <c r="CE45" i="1"/>
  <c r="CO45" i="1"/>
  <c r="CK45" i="1"/>
  <c r="CC45" i="1"/>
  <c r="BZ45" i="1"/>
  <c r="CI45" i="1"/>
  <c r="BW45" i="1"/>
  <c r="CL45" i="1"/>
  <c r="CQ45" i="1"/>
  <c r="BV45" i="1"/>
  <c r="BU45" i="1"/>
  <c r="CP45" i="1"/>
  <c r="CF45" i="1"/>
  <c r="CL53" i="1"/>
  <c r="BX53" i="1"/>
  <c r="DL54" i="1"/>
  <c r="CM54" i="1"/>
  <c r="CC56" i="1"/>
  <c r="BQ40" i="1"/>
  <c r="BS40" i="1"/>
  <c r="BT40" i="1"/>
  <c r="DJ47" i="1"/>
  <c r="CK47" i="1"/>
  <c r="CV47" i="1"/>
  <c r="BW47" i="1"/>
  <c r="BP47" i="1"/>
  <c r="CS47" i="1"/>
  <c r="CN47" i="1"/>
  <c r="DM47" i="1"/>
  <c r="CO6" i="1"/>
  <c r="DN6" i="1"/>
  <c r="BX35" i="1"/>
  <c r="CW35" i="1"/>
  <c r="BY61" i="1"/>
  <c r="CX61" i="1"/>
  <c r="CH18" i="1"/>
  <c r="DG18" i="1"/>
  <c r="DP22" i="1"/>
  <c r="CQ22" i="1"/>
  <c r="BR38" i="1"/>
  <c r="CX38" i="1"/>
  <c r="BQ38" i="1"/>
  <c r="CZ47" i="1"/>
  <c r="CE11" i="1"/>
  <c r="BV49" i="1"/>
  <c r="CN32" i="1"/>
  <c r="BX13" i="1"/>
  <c r="CE16" i="1"/>
  <c r="DL36" i="1"/>
  <c r="CO38" i="1"/>
  <c r="AO28" i="1"/>
  <c r="AT63" i="1"/>
  <c r="CB16" i="1"/>
  <c r="CG44" i="1"/>
  <c r="CH62" i="1"/>
  <c r="BZ35" i="1"/>
  <c r="BR54" i="1"/>
  <c r="CU22" i="1"/>
  <c r="CE64" i="1"/>
  <c r="CO62" i="1"/>
  <c r="AW27" i="1"/>
  <c r="CO20" i="1"/>
  <c r="CM36" i="1"/>
  <c r="BG26" i="1"/>
  <c r="CO53" i="1"/>
  <c r="DH39" i="1"/>
  <c r="CI39" i="1"/>
  <c r="DA41" i="1"/>
  <c r="CB41" i="1"/>
  <c r="AZ41" i="1"/>
  <c r="BK41" i="1"/>
  <c r="BA41" i="1"/>
  <c r="BI41" i="1"/>
  <c r="BG41" i="1"/>
  <c r="AV41" i="1"/>
  <c r="AX41" i="1"/>
  <c r="BC41" i="1"/>
  <c r="BM41" i="1"/>
  <c r="BJ41" i="1"/>
  <c r="AU41" i="1"/>
  <c r="BB41" i="1"/>
  <c r="BL41" i="1"/>
  <c r="BD41" i="1"/>
  <c r="BF41" i="1"/>
  <c r="BH41" i="1"/>
  <c r="AT41" i="1"/>
  <c r="AR41" i="1"/>
  <c r="BN41" i="1"/>
  <c r="AW41" i="1"/>
  <c r="BK39" i="1"/>
  <c r="BA39" i="1"/>
  <c r="BO39" i="1"/>
  <c r="BG39" i="1"/>
  <c r="AW39" i="1"/>
  <c r="BJ39" i="1"/>
  <c r="BB39" i="1"/>
  <c r="AS39" i="1"/>
  <c r="BD39" i="1"/>
  <c r="AU39" i="1"/>
  <c r="BL39" i="1"/>
  <c r="AT39" i="1"/>
  <c r="BH39" i="1"/>
  <c r="AO39" i="1"/>
  <c r="AR39" i="1"/>
  <c r="AZ39" i="1"/>
  <c r="AY39" i="1"/>
  <c r="AV39" i="1"/>
  <c r="BM39" i="1"/>
  <c r="BE39" i="1"/>
  <c r="BN39" i="1"/>
  <c r="BL37" i="1"/>
  <c r="AW37" i="1"/>
  <c r="BM37" i="1"/>
  <c r="AY37" i="1"/>
  <c r="BD37" i="1"/>
  <c r="BH37" i="1"/>
  <c r="BB37" i="1"/>
  <c r="AU37" i="1"/>
  <c r="AX37" i="1"/>
  <c r="BA37" i="1"/>
  <c r="BF37" i="1"/>
  <c r="BE37" i="1"/>
  <c r="BO37" i="1"/>
  <c r="AZ37" i="1"/>
  <c r="AT37" i="1"/>
  <c r="AS37" i="1"/>
  <c r="AV37" i="1"/>
  <c r="BC37" i="1"/>
  <c r="BG37" i="1"/>
  <c r="BI37" i="1"/>
  <c r="BK37" i="1"/>
  <c r="BN37" i="1"/>
  <c r="BQ37" i="1"/>
  <c r="AO37" i="1"/>
  <c r="BS37" i="1"/>
  <c r="CW16" i="1"/>
  <c r="CV16" i="1"/>
  <c r="DI16" i="1"/>
  <c r="BX16" i="1"/>
  <c r="BW16" i="1"/>
  <c r="DK16" i="1"/>
  <c r="CJ16" i="1"/>
  <c r="DQ16" i="1"/>
  <c r="DP16" i="1"/>
  <c r="CZ16" i="1"/>
  <c r="DN16" i="1"/>
  <c r="CF16" i="1"/>
  <c r="DO16" i="1"/>
  <c r="DG16" i="1"/>
  <c r="CB38" i="1"/>
  <c r="BV38" i="1"/>
  <c r="CK38" i="1"/>
  <c r="BZ38" i="1"/>
  <c r="CF38" i="1"/>
  <c r="CL38" i="1"/>
  <c r="CH38" i="1"/>
  <c r="CI38" i="1"/>
  <c r="CE38" i="1"/>
  <c r="BW38" i="1"/>
  <c r="CQ38" i="1"/>
  <c r="BX38" i="1"/>
  <c r="CP38" i="1"/>
  <c r="BY54" i="1"/>
  <c r="CR54" i="1"/>
  <c r="BX54" i="1"/>
  <c r="CH54" i="1"/>
  <c r="CF54" i="1"/>
  <c r="CC54" i="1"/>
  <c r="CO54" i="1"/>
  <c r="BU54" i="1"/>
  <c r="CD54" i="1"/>
  <c r="CL54" i="1"/>
  <c r="BZ54" i="1"/>
  <c r="CA54" i="1"/>
  <c r="CI54" i="1"/>
  <c r="DO57" i="1"/>
  <c r="CP57" i="1"/>
  <c r="DJ54" i="1"/>
  <c r="CK54" i="1"/>
  <c r="BP45" i="1"/>
  <c r="CS45" i="1"/>
  <c r="CZ45" i="1"/>
  <c r="BS45" i="1"/>
  <c r="BT45" i="1"/>
  <c r="BQ45" i="1"/>
  <c r="BU53" i="1"/>
  <c r="CT53" i="1"/>
  <c r="AO59" i="1"/>
  <c r="BJ59" i="1"/>
  <c r="BB59" i="1"/>
  <c r="BM59" i="1"/>
  <c r="BE59" i="1"/>
  <c r="BH59" i="1"/>
  <c r="BI59" i="1"/>
  <c r="AZ59" i="1"/>
  <c r="BD59" i="1"/>
  <c r="BL59" i="1"/>
  <c r="BK59" i="1"/>
  <c r="AY59" i="1"/>
  <c r="DL20" i="1"/>
  <c r="CM20" i="1"/>
  <c r="CG6" i="1"/>
  <c r="DF6" i="1"/>
  <c r="CP63" i="1"/>
  <c r="BY32" i="1"/>
  <c r="DA16" i="1"/>
  <c r="BU32" i="1"/>
  <c r="CT4" i="1"/>
  <c r="BQ22" i="1"/>
  <c r="DJ19" i="1"/>
  <c r="AZ49" i="1"/>
  <c r="DB18" i="1"/>
  <c r="CL47" i="1"/>
  <c r="BP20" i="1"/>
  <c r="CS20" i="1"/>
  <c r="AU63" i="1"/>
  <c r="DB56" i="1"/>
  <c r="CC32" i="1"/>
  <c r="BS20" i="1"/>
  <c r="BT20" i="1"/>
  <c r="CB20" i="1"/>
  <c r="CD20" i="1"/>
  <c r="BO31" i="1"/>
  <c r="CF7" i="1"/>
  <c r="CC18" i="1"/>
  <c r="AX59" i="1"/>
  <c r="CI53" i="1"/>
  <c r="BY59" i="1"/>
  <c r="BE41" i="1"/>
  <c r="DC32" i="1"/>
  <c r="CD32" i="1"/>
  <c r="DA24" i="1"/>
  <c r="CB24" i="1"/>
  <c r="CV59" i="1"/>
  <c r="BW59" i="1"/>
  <c r="CU41" i="1"/>
  <c r="BV41" i="1"/>
  <c r="BO51" i="1"/>
  <c r="AS51" i="1"/>
  <c r="BD51" i="1"/>
  <c r="BH51" i="1"/>
  <c r="AZ51" i="1"/>
  <c r="AY51" i="1"/>
  <c r="BK51" i="1"/>
  <c r="BN51" i="1"/>
  <c r="AT51" i="1"/>
  <c r="BI51" i="1"/>
  <c r="AV51" i="1"/>
  <c r="BB51" i="1"/>
  <c r="BG51" i="1"/>
  <c r="AO51" i="1"/>
  <c r="BJ51" i="1"/>
  <c r="AP51" i="1"/>
  <c r="BM51" i="1"/>
  <c r="BL51" i="1"/>
  <c r="AR51" i="1"/>
  <c r="BC51" i="1"/>
  <c r="BA51" i="1"/>
  <c r="AU51" i="1"/>
  <c r="BF51" i="1"/>
  <c r="BE51" i="1"/>
  <c r="CJ6" i="1"/>
  <c r="BU6" i="1"/>
  <c r="CL6" i="1"/>
  <c r="CI6" i="1"/>
  <c r="DP54" i="1"/>
  <c r="CQ54" i="1"/>
  <c r="BN63" i="1"/>
  <c r="BH63" i="1"/>
  <c r="BG63" i="1"/>
  <c r="BF63" i="1"/>
  <c r="AO63" i="1"/>
  <c r="BD63" i="1"/>
  <c r="BB63" i="1"/>
  <c r="BK63" i="1"/>
  <c r="AZ63" i="1"/>
  <c r="AW63" i="1"/>
  <c r="BA63" i="1"/>
  <c r="AR63" i="1"/>
  <c r="BC63" i="1"/>
  <c r="BO63" i="1"/>
  <c r="CT27" i="1"/>
  <c r="BU27" i="1"/>
  <c r="DH22" i="1"/>
  <c r="DQ22" i="1"/>
  <c r="DE22" i="1"/>
  <c r="CW22" i="1"/>
  <c r="DL22" i="1"/>
  <c r="DM22" i="1"/>
  <c r="DI22" i="1"/>
  <c r="DK22" i="1"/>
  <c r="DN22" i="1"/>
  <c r="CY22" i="1"/>
  <c r="CT22" i="1"/>
  <c r="BX11" i="1"/>
  <c r="CI11" i="1"/>
  <c r="CC11" i="1"/>
  <c r="CN11" i="1"/>
  <c r="CF11" i="1"/>
  <c r="BZ11" i="1"/>
  <c r="CD11" i="1"/>
  <c r="CP11" i="1"/>
  <c r="CG11" i="1"/>
  <c r="BV11" i="1"/>
  <c r="CJ11" i="1"/>
  <c r="CB22" i="1"/>
  <c r="CM22" i="1"/>
  <c r="CF22" i="1"/>
  <c r="BX22" i="1"/>
  <c r="CG22" i="1"/>
  <c r="CE22" i="1"/>
  <c r="CL22" i="1"/>
  <c r="CO22" i="1"/>
  <c r="BZ22" i="1"/>
  <c r="CP22" i="1"/>
  <c r="CV44" i="1"/>
  <c r="BW44" i="1"/>
  <c r="CC22" i="1"/>
  <c r="DB22" i="1"/>
  <c r="BR22" i="1"/>
  <c r="BP22" i="1"/>
  <c r="CS22" i="1"/>
  <c r="BS22" i="1"/>
  <c r="BT22" i="1"/>
  <c r="BV67" i="1"/>
  <c r="CU67" i="1"/>
  <c r="BU35" i="1"/>
  <c r="CT35" i="1"/>
  <c r="CC64" i="1"/>
  <c r="DB64" i="1"/>
  <c r="CU38" i="1"/>
  <c r="BW52" i="1"/>
  <c r="CL16" i="1"/>
  <c r="CH19" i="1"/>
  <c r="CX7" i="1"/>
  <c r="CH52" i="1"/>
  <c r="AY63" i="1"/>
  <c r="BL63" i="1"/>
  <c r="BS36" i="1"/>
  <c r="BR36" i="1"/>
  <c r="BT36" i="1"/>
  <c r="CH11" i="1"/>
  <c r="CN29" i="1"/>
  <c r="CA4" i="1"/>
  <c r="BQ20" i="1"/>
  <c r="CJ45" i="1"/>
  <c r="BY4" i="1"/>
  <c r="BV20" i="1"/>
  <c r="CP16" i="1"/>
  <c r="CQ20" i="1"/>
  <c r="DC22" i="1"/>
  <c r="AX31" i="1"/>
  <c r="CO47" i="1"/>
  <c r="CE40" i="1"/>
  <c r="BZ29" i="1"/>
  <c r="AO41" i="1"/>
  <c r="BP13" i="1"/>
  <c r="CS13" i="1"/>
  <c r="BR13" i="1"/>
  <c r="CW13" i="1"/>
  <c r="BS13" i="1"/>
  <c r="BT13" i="1"/>
  <c r="DO48" i="1"/>
  <c r="CP48" i="1"/>
  <c r="CV29" i="1"/>
  <c r="BW29" i="1"/>
  <c r="CQ9" i="1"/>
  <c r="DP9" i="1"/>
  <c r="DH36" i="1"/>
  <c r="CI36" i="1"/>
  <c r="AO46" i="1"/>
  <c r="AP46" i="1"/>
  <c r="DP32" i="1"/>
  <c r="CT32" i="1"/>
  <c r="DA32" i="1"/>
  <c r="DH32" i="1"/>
  <c r="CB32" i="1"/>
  <c r="CI32" i="1"/>
  <c r="DM32" i="1"/>
  <c r="CX32" i="1"/>
  <c r="CT28" i="1"/>
  <c r="AS28" i="1"/>
  <c r="BU28" i="1"/>
  <c r="CL62" i="1"/>
  <c r="BX62" i="1"/>
  <c r="CU56" i="1"/>
  <c r="DM56" i="1"/>
  <c r="DE56" i="1"/>
  <c r="CN56" i="1"/>
  <c r="CH56" i="1"/>
  <c r="CF56" i="1"/>
  <c r="AS52" i="1"/>
  <c r="AU52" i="1"/>
  <c r="AV52" i="1"/>
  <c r="AW52" i="1"/>
  <c r="AX52" i="1"/>
  <c r="AY52" i="1"/>
  <c r="AZ52" i="1"/>
  <c r="BA52" i="1"/>
  <c r="BB52" i="1"/>
  <c r="BC52" i="1"/>
  <c r="BD52" i="1"/>
  <c r="BF52" i="1"/>
  <c r="BG52" i="1"/>
  <c r="BH52" i="1"/>
  <c r="BI52" i="1"/>
  <c r="BJ52" i="1"/>
  <c r="BK52" i="1"/>
  <c r="BL52" i="1"/>
  <c r="BM52" i="1"/>
  <c r="BN52" i="1"/>
  <c r="BO52" i="1"/>
  <c r="BQ52" i="1"/>
  <c r="BP52" i="1"/>
  <c r="CS52" i="1"/>
  <c r="AO52" i="1"/>
  <c r="BK31" i="1"/>
  <c r="AY31" i="1"/>
  <c r="BN31" i="1"/>
  <c r="BL31" i="1"/>
  <c r="AT31" i="1"/>
  <c r="BH31" i="1"/>
  <c r="AO31" i="1"/>
  <c r="BM31" i="1"/>
  <c r="BC31" i="1"/>
  <c r="BE31" i="1"/>
  <c r="AR31" i="1"/>
  <c r="BJ31" i="1"/>
  <c r="BB31" i="1"/>
  <c r="BD31" i="1"/>
  <c r="BF31" i="1"/>
  <c r="BG31" i="1"/>
  <c r="BI31" i="1"/>
  <c r="AZ31" i="1"/>
  <c r="AW31" i="1"/>
  <c r="AP31" i="1"/>
  <c r="BA31" i="1"/>
  <c r="AS31" i="1"/>
  <c r="BD27" i="1"/>
  <c r="BJ27" i="1"/>
  <c r="BH27" i="1"/>
  <c r="BM27" i="1"/>
  <c r="AT27" i="1"/>
  <c r="BC27" i="1"/>
  <c r="BI27" i="1"/>
  <c r="AV27" i="1"/>
  <c r="BA27" i="1"/>
  <c r="BG27" i="1"/>
  <c r="AX27" i="1"/>
  <c r="BL27" i="1"/>
  <c r="BK27" i="1"/>
  <c r="AZ27" i="1"/>
  <c r="BF27" i="1"/>
  <c r="BE27" i="1"/>
  <c r="BO27" i="1"/>
  <c r="AU27" i="1"/>
  <c r="AS27" i="1"/>
  <c r="BB27" i="1"/>
  <c r="BN27" i="1"/>
  <c r="BR27" i="1"/>
  <c r="AO27" i="1"/>
  <c r="BD19" i="1"/>
  <c r="AU19" i="1"/>
  <c r="BG19" i="1"/>
  <c r="BF19" i="1"/>
  <c r="BB19" i="1"/>
  <c r="BI19" i="1"/>
  <c r="BC19" i="1"/>
  <c r="AY19" i="1"/>
  <c r="AX19" i="1"/>
  <c r="BO19" i="1"/>
  <c r="AV19" i="1"/>
  <c r="AS19" i="1"/>
  <c r="AR19" i="1"/>
  <c r="AW19" i="1"/>
  <c r="BM19" i="1"/>
  <c r="BL19" i="1"/>
  <c r="BN19" i="1"/>
  <c r="BK19" i="1"/>
  <c r="BJ19" i="1"/>
  <c r="AZ19" i="1"/>
  <c r="BA19" i="1"/>
  <c r="BC4" i="1"/>
  <c r="BN4" i="1"/>
  <c r="AY4" i="1"/>
  <c r="BI4" i="1"/>
  <c r="BL4" i="1"/>
  <c r="AP4" i="1"/>
  <c r="BB4" i="1"/>
  <c r="AU4" i="1"/>
  <c r="AS4" i="1"/>
  <c r="AT4" i="1"/>
  <c r="AW4" i="1"/>
  <c r="AZ4" i="1"/>
  <c r="BA4" i="1"/>
  <c r="BD4" i="1"/>
  <c r="BE4" i="1"/>
  <c r="BF4" i="1"/>
  <c r="BG4" i="1"/>
  <c r="BH4" i="1"/>
  <c r="BJ4" i="1"/>
  <c r="BK4" i="1"/>
  <c r="BM4" i="1"/>
  <c r="BS4" i="1"/>
  <c r="BP4" i="1"/>
  <c r="CS4" i="1"/>
  <c r="CA35" i="1"/>
  <c r="CO35" i="1"/>
  <c r="BY67" i="1"/>
  <c r="CA67" i="1"/>
  <c r="DJ16" i="1"/>
  <c r="CK16" i="1"/>
  <c r="DK24" i="1"/>
  <c r="CL24" i="1"/>
  <c r="CT21" i="1"/>
  <c r="BU21" i="1"/>
  <c r="DA62" i="1"/>
  <c r="CB62" i="1"/>
  <c r="DF38" i="1"/>
  <c r="CG38" i="1"/>
  <c r="CK65" i="1"/>
  <c r="DJ65" i="1"/>
  <c r="AO14" i="1"/>
  <c r="DE16" i="1"/>
  <c r="CA39" i="1"/>
  <c r="CQ16" i="1"/>
  <c r="BW54" i="1"/>
  <c r="CM6" i="1"/>
  <c r="CE54" i="1"/>
  <c r="CB45" i="1"/>
  <c r="CO16" i="1"/>
  <c r="BJ63" i="1"/>
  <c r="AS63" i="1"/>
  <c r="CJ56" i="1"/>
  <c r="CE62" i="1"/>
  <c r="CC67" i="1"/>
  <c r="CA38" i="1"/>
  <c r="BU22" i="1"/>
  <c r="BY45" i="1"/>
  <c r="CN38" i="1"/>
  <c r="AT26" i="1"/>
  <c r="CG13" i="1"/>
  <c r="AU31" i="1"/>
  <c r="CJ62" i="1"/>
  <c r="AO4" i="1"/>
  <c r="CB11" i="1"/>
  <c r="BU38" i="1"/>
  <c r="BS38" i="1"/>
  <c r="BT38" i="1"/>
  <c r="BX60" i="1"/>
  <c r="CW60" i="1"/>
  <c r="BX18" i="1"/>
  <c r="CW18" i="1"/>
  <c r="CT61" i="1"/>
  <c r="BU61" i="1"/>
  <c r="CE20" i="1"/>
  <c r="DD20" i="1"/>
  <c r="CU6" i="1"/>
  <c r="BV6" i="1"/>
  <c r="AP67" i="1"/>
  <c r="BB67" i="1"/>
  <c r="AW67" i="1"/>
  <c r="AO67" i="1"/>
  <c r="BG67" i="1"/>
  <c r="AT67" i="1"/>
  <c r="BL67" i="1"/>
  <c r="BM67" i="1"/>
  <c r="BF67" i="1"/>
  <c r="BI67" i="1"/>
  <c r="AY67" i="1"/>
  <c r="BD67" i="1"/>
  <c r="BC67" i="1"/>
  <c r="BO67" i="1"/>
  <c r="AR67" i="1"/>
  <c r="BK67" i="1"/>
  <c r="AO61" i="1"/>
  <c r="BL61" i="1"/>
  <c r="BD61" i="1"/>
  <c r="BK61" i="1"/>
  <c r="BC61" i="1"/>
  <c r="BF61" i="1"/>
  <c r="AU61" i="1"/>
  <c r="CV33" i="1"/>
  <c r="CL18" i="1"/>
  <c r="DK38" i="1"/>
  <c r="DM36" i="1"/>
  <c r="CH45" i="1"/>
  <c r="CE61" i="1"/>
  <c r="CM35" i="1"/>
  <c r="DL35" i="1"/>
  <c r="BW61" i="1"/>
  <c r="CV61" i="1"/>
  <c r="DF45" i="1"/>
  <c r="CG45" i="1"/>
  <c r="DO29" i="1"/>
  <c r="CP29" i="1"/>
  <c r="DF54" i="1"/>
  <c r="CG54" i="1"/>
  <c r="BX20" i="1"/>
  <c r="CN45" i="1"/>
  <c r="CK67" i="1"/>
  <c r="CH22" i="1"/>
  <c r="DE21" i="1"/>
  <c r="CY40" i="1"/>
  <c r="CK20" i="1"/>
  <c r="CV22" i="1"/>
  <c r="CX55" i="1"/>
  <c r="BY55" i="1"/>
  <c r="BX42" i="1"/>
  <c r="BS42" i="1"/>
  <c r="BT42" i="1"/>
  <c r="CW50" i="1"/>
  <c r="BX50" i="1"/>
  <c r="CA22" i="1"/>
  <c r="CZ22" i="1"/>
  <c r="DA65" i="1"/>
  <c r="CB65" i="1"/>
  <c r="DC60" i="1"/>
  <c r="CD60" i="1"/>
  <c r="CH67" i="1"/>
  <c r="CQ13" i="1"/>
  <c r="CD36" i="1"/>
  <c r="BY20" i="1"/>
  <c r="DI32" i="1"/>
  <c r="BU11" i="1"/>
  <c r="CK11" i="1"/>
  <c r="BU62" i="1"/>
  <c r="BZ32" i="1"/>
  <c r="CY32" i="1"/>
  <c r="DE65" i="1"/>
  <c r="CF65" i="1"/>
  <c r="BX6" i="1"/>
  <c r="CW6" i="1"/>
  <c r="DG13" i="1"/>
  <c r="CH13" i="1"/>
  <c r="CH6" i="1"/>
  <c r="DG6" i="1"/>
  <c r="CD64" i="1"/>
  <c r="DC64" i="1"/>
  <c r="DB25" i="1"/>
  <c r="CC25" i="1"/>
  <c r="BU16" i="1"/>
  <c r="CR55" i="1"/>
  <c r="CD67" i="1"/>
  <c r="CE15" i="1"/>
  <c r="BX55" i="1"/>
  <c r="CJ32" i="1"/>
  <c r="CL29" i="1"/>
  <c r="DI18" i="1"/>
  <c r="DM38" i="1"/>
  <c r="DJ29" i="1"/>
  <c r="CK29" i="1"/>
  <c r="CR38" i="1"/>
  <c r="DQ38" i="1"/>
  <c r="BX66" i="1"/>
  <c r="CW66" i="1"/>
  <c r="DB38" i="1"/>
  <c r="CC38" i="1"/>
  <c r="CO66" i="1"/>
  <c r="CE66" i="1"/>
  <c r="AV64" i="1"/>
  <c r="BN64" i="1"/>
  <c r="BG64" i="1"/>
  <c r="AR64" i="1"/>
  <c r="BE64" i="1"/>
  <c r="AS64" i="1"/>
  <c r="BC64" i="1"/>
  <c r="AP64" i="1"/>
  <c r="AY64" i="1"/>
  <c r="AO64" i="1"/>
  <c r="BF64" i="1"/>
  <c r="BJ61" i="1"/>
  <c r="AW61" i="1"/>
  <c r="BE61" i="1"/>
  <c r="BI61" i="1"/>
  <c r="BH61" i="1"/>
  <c r="BN61" i="1"/>
  <c r="BA61" i="1"/>
  <c r="BM61" i="1"/>
  <c r="BO61" i="1"/>
  <c r="AS61" i="1"/>
  <c r="BG61" i="1"/>
  <c r="BO59" i="1"/>
  <c r="BA59" i="1"/>
  <c r="BN59" i="1"/>
  <c r="BC59" i="1"/>
  <c r="AW59" i="1"/>
  <c r="BG59" i="1"/>
  <c r="AU59" i="1"/>
  <c r="AS59" i="1"/>
  <c r="AR59" i="1"/>
  <c r="BF59" i="1"/>
  <c r="AU44" i="1"/>
  <c r="AV44" i="1"/>
  <c r="BI44" i="1"/>
  <c r="BO44" i="1"/>
  <c r="AO44" i="1"/>
  <c r="BF44" i="1"/>
  <c r="AR44" i="1"/>
  <c r="BC44" i="1"/>
  <c r="AP44" i="1"/>
  <c r="AY44" i="1"/>
  <c r="AX44" i="1"/>
  <c r="BA44" i="1"/>
  <c r="BL44" i="1"/>
  <c r="BG44" i="1"/>
  <c r="AP35" i="1"/>
  <c r="BK35" i="1"/>
  <c r="BD35" i="1"/>
  <c r="BI35" i="1"/>
  <c r="AV35" i="1"/>
  <c r="AZ35" i="1"/>
  <c r="AS35" i="1"/>
  <c r="AT35" i="1"/>
  <c r="AY35" i="1"/>
  <c r="BA35" i="1"/>
  <c r="BB35" i="1"/>
  <c r="BC35" i="1"/>
  <c r="BE35" i="1"/>
  <c r="BF35" i="1"/>
  <c r="BG35" i="1"/>
  <c r="BH35" i="1"/>
  <c r="BQ35" i="1"/>
  <c r="BF24" i="1"/>
  <c r="AV24" i="1"/>
  <c r="BM24" i="1"/>
  <c r="BB24" i="1"/>
  <c r="BA24" i="1"/>
  <c r="AR24" i="1"/>
  <c r="AU24" i="1"/>
  <c r="BO24" i="1"/>
  <c r="BE24" i="1"/>
  <c r="AW24" i="1"/>
  <c r="AX24" i="1"/>
  <c r="BL24" i="1"/>
  <c r="BK6" i="1"/>
  <c r="AY6" i="1"/>
  <c r="BA6" i="1"/>
  <c r="BB6" i="1"/>
  <c r="BC6" i="1"/>
  <c r="BH6" i="1"/>
  <c r="AV6" i="1"/>
  <c r="AX6" i="1"/>
  <c r="BM6" i="1"/>
  <c r="AW6" i="1"/>
  <c r="AT6" i="1"/>
  <c r="CQ35" i="1"/>
  <c r="BV56" i="1"/>
  <c r="CQ32" i="1"/>
  <c r="BW36" i="1"/>
  <c r="CY45" i="1"/>
  <c r="BM53" i="1"/>
  <c r="CI22" i="1"/>
  <c r="BN29" i="1"/>
  <c r="AK12" i="1"/>
  <c r="AK21" i="1"/>
  <c r="AK28" i="1"/>
  <c r="AK36" i="1"/>
  <c r="AK44" i="1"/>
  <c r="AK52" i="1"/>
  <c r="AK57" i="1"/>
  <c r="BZ13" i="1"/>
  <c r="CY13" i="1"/>
  <c r="CE13" i="1"/>
  <c r="DD13" i="1"/>
  <c r="DO54" i="1"/>
  <c r="CP54" i="1"/>
  <c r="CR6" i="1"/>
  <c r="DQ6" i="1"/>
  <c r="AW57" i="1"/>
  <c r="BE57" i="1"/>
  <c r="AZ57" i="1"/>
  <c r="BJ57" i="1"/>
  <c r="AR57" i="1"/>
  <c r="BL57" i="1"/>
  <c r="BO57" i="1"/>
  <c r="BF57" i="1"/>
  <c r="BI57" i="1"/>
  <c r="BG57" i="1"/>
  <c r="AV57" i="1"/>
  <c r="BD57" i="1"/>
  <c r="CY54" i="1"/>
  <c r="DQ54" i="1"/>
  <c r="AP50" i="1"/>
  <c r="AY50" i="1"/>
  <c r="BM50" i="1"/>
  <c r="BL50" i="1"/>
  <c r="BA50" i="1"/>
  <c r="AS50" i="1"/>
  <c r="BH50" i="1"/>
  <c r="BG50" i="1"/>
  <c r="BN50" i="1"/>
  <c r="BC50" i="1"/>
  <c r="AV50" i="1"/>
  <c r="BF50" i="1"/>
  <c r="AR50" i="1"/>
  <c r="AS29" i="1"/>
  <c r="AR29" i="1"/>
  <c r="BJ29" i="1"/>
  <c r="BG29" i="1"/>
  <c r="BC29" i="1"/>
  <c r="AP29" i="1"/>
  <c r="BL29" i="1"/>
  <c r="BE29" i="1"/>
  <c r="AY29" i="1"/>
  <c r="BD29" i="1"/>
  <c r="BF29" i="1"/>
  <c r="BB29" i="1"/>
  <c r="AZ29" i="1"/>
  <c r="AO19" i="1"/>
  <c r="AP19" i="1"/>
  <c r="BJ21" i="1"/>
  <c r="AX21" i="1"/>
  <c r="AY21" i="1"/>
  <c r="AP21" i="1"/>
  <c r="BE21" i="1"/>
  <c r="AS21" i="1"/>
  <c r="AT21" i="1"/>
  <c r="AU21" i="1"/>
  <c r="AW21" i="1"/>
  <c r="BD21" i="1"/>
  <c r="BF21" i="1"/>
  <c r="BG21" i="1"/>
  <c r="BL21" i="1"/>
  <c r="BM21" i="1"/>
  <c r="BO21" i="1"/>
  <c r="BR21" i="1"/>
  <c r="AO21" i="1"/>
  <c r="CQ11" i="1"/>
  <c r="CD45" i="1"/>
  <c r="CF62" i="1"/>
  <c r="CD21" i="1"/>
  <c r="BX15" i="1"/>
  <c r="CD13" i="1"/>
  <c r="DA36" i="1"/>
  <c r="CB36" i="1"/>
  <c r="CR65" i="1"/>
  <c r="DQ65" i="1"/>
  <c r="CR11" i="1"/>
  <c r="DQ11" i="1"/>
  <c r="CJ65" i="1"/>
  <c r="DI65" i="1"/>
  <c r="AP57" i="1"/>
  <c r="AW55" i="1"/>
  <c r="BJ55" i="1"/>
  <c r="BG55" i="1"/>
  <c r="AS55" i="1"/>
  <c r="BD55" i="1"/>
  <c r="AZ55" i="1"/>
  <c r="AY55" i="1"/>
  <c r="BN55" i="1"/>
  <c r="BL55" i="1"/>
  <c r="BM55" i="1"/>
  <c r="BC55" i="1"/>
  <c r="BD53" i="1"/>
  <c r="BE53" i="1"/>
  <c r="AT53" i="1"/>
  <c r="BB53" i="1"/>
  <c r="BO53" i="1"/>
  <c r="AZ53" i="1"/>
  <c r="BK53" i="1"/>
  <c r="AX53" i="1"/>
  <c r="AW53" i="1"/>
  <c r="AV53" i="1"/>
  <c r="BH53" i="1"/>
  <c r="BG53" i="1"/>
  <c r="BA53" i="1"/>
  <c r="AS53" i="1"/>
  <c r="AY53" i="1"/>
  <c r="BJ53" i="1"/>
  <c r="BN53" i="1"/>
  <c r="BS53" i="1"/>
  <c r="AO53" i="1"/>
  <c r="BF48" i="1"/>
  <c r="BD48" i="1"/>
  <c r="BC48" i="1"/>
  <c r="BA48" i="1"/>
  <c r="AZ48" i="1"/>
  <c r="BN48" i="1"/>
  <c r="AU48" i="1"/>
  <c r="BO48" i="1"/>
  <c r="AV48" i="1"/>
  <c r="AS48" i="1"/>
  <c r="BB48" i="1"/>
  <c r="AX48" i="1"/>
  <c r="BE48" i="1"/>
  <c r="BG48" i="1"/>
  <c r="BK18" i="1"/>
  <c r="AT18" i="1"/>
  <c r="BD18" i="1"/>
  <c r="BL18" i="1"/>
  <c r="AY18" i="1"/>
  <c r="AS18" i="1"/>
  <c r="AW18" i="1"/>
  <c r="BH18" i="1"/>
  <c r="BJ18" i="1"/>
  <c r="BM18" i="1"/>
  <c r="BS18" i="1"/>
  <c r="BD9" i="1"/>
  <c r="AW9" i="1"/>
  <c r="BE9" i="1"/>
  <c r="AT9" i="1"/>
  <c r="AR9" i="1"/>
  <c r="BL9" i="1"/>
  <c r="BI9" i="1"/>
  <c r="BO9" i="1"/>
  <c r="BF9" i="1"/>
  <c r="AO9" i="1"/>
  <c r="BG9" i="1"/>
  <c r="AV9" i="1"/>
  <c r="BA7" i="1"/>
  <c r="BO7" i="1"/>
  <c r="BG7" i="1"/>
  <c r="BL7" i="1"/>
  <c r="AW7" i="1"/>
  <c r="BJ7" i="1"/>
  <c r="AS7" i="1"/>
  <c r="AT7" i="1"/>
  <c r="AZ7" i="1"/>
  <c r="BD7" i="1"/>
  <c r="BF7" i="1"/>
  <c r="BH7" i="1"/>
  <c r="BR7" i="1"/>
  <c r="CA11" i="1"/>
  <c r="CB54" i="1"/>
  <c r="CN21" i="1"/>
  <c r="BY18" i="1"/>
  <c r="DQ36" i="1"/>
  <c r="CR36" i="1"/>
  <c r="DJ64" i="1"/>
  <c r="CK64" i="1"/>
  <c r="DC29" i="1"/>
  <c r="CD29" i="1"/>
  <c r="AO65" i="1"/>
  <c r="BA65" i="1"/>
  <c r="AX65" i="1"/>
  <c r="BM65" i="1"/>
  <c r="AZ65" i="1"/>
  <c r="AT65" i="1"/>
  <c r="AR65" i="1"/>
  <c r="BE65" i="1"/>
  <c r="AP65" i="1"/>
  <c r="AW65" i="1"/>
  <c r="BI65" i="1"/>
  <c r="BN65" i="1"/>
  <c r="BO62" i="1"/>
  <c r="BN62" i="1"/>
  <c r="BH62" i="1"/>
  <c r="BD62" i="1"/>
  <c r="AW62" i="1"/>
  <c r="BJ62" i="1"/>
  <c r="BA62" i="1"/>
  <c r="AV62" i="1"/>
  <c r="AZ62" i="1"/>
  <c r="BF62" i="1"/>
  <c r="AO62" i="1"/>
  <c r="AS62" i="1"/>
  <c r="BK62" i="1"/>
  <c r="AX62" i="1"/>
  <c r="BK60" i="1"/>
  <c r="AX60" i="1"/>
  <c r="AS60" i="1"/>
  <c r="BM60" i="1"/>
  <c r="AT60" i="1"/>
  <c r="AY60" i="1"/>
  <c r="BL60" i="1"/>
  <c r="BG60" i="1"/>
  <c r="BJ60" i="1"/>
  <c r="BO60" i="1"/>
  <c r="BD60" i="1"/>
  <c r="AW60" i="1"/>
  <c r="AP48" i="1"/>
  <c r="DN45" i="1"/>
  <c r="DB45" i="1"/>
  <c r="DJ45" i="1"/>
  <c r="AT43" i="1"/>
  <c r="BO43" i="1"/>
  <c r="BD43" i="1"/>
  <c r="BF43" i="1"/>
  <c r="AU43" i="1"/>
  <c r="BA43" i="1"/>
  <c r="BG43" i="1"/>
  <c r="AY43" i="1"/>
  <c r="BH43" i="1"/>
  <c r="AW43" i="1"/>
  <c r="BL43" i="1"/>
  <c r="AX43" i="1"/>
  <c r="AS43" i="1"/>
  <c r="AZ43" i="1"/>
  <c r="AU32" i="1"/>
  <c r="BO32" i="1"/>
  <c r="BC32" i="1"/>
  <c r="BI32" i="1"/>
  <c r="BJ32" i="1"/>
  <c r="AX32" i="1"/>
  <c r="BE32" i="1"/>
  <c r="BL32" i="1"/>
  <c r="AS32" i="1"/>
  <c r="BB32" i="1"/>
  <c r="AT32" i="1"/>
  <c r="BD32" i="1"/>
  <c r="AS25" i="1"/>
  <c r="AR25" i="1"/>
  <c r="BL25" i="1"/>
  <c r="AO25" i="1"/>
  <c r="BO25" i="1"/>
  <c r="BF25" i="1"/>
  <c r="BK25" i="1"/>
  <c r="BA25" i="1"/>
  <c r="BI25" i="1"/>
  <c r="BC25" i="1"/>
  <c r="BM25" i="1"/>
  <c r="AO18" i="1"/>
  <c r="AP18" i="1"/>
  <c r="BK16" i="1"/>
  <c r="BD16" i="1"/>
  <c r="AS16" i="1"/>
  <c r="AO16" i="1"/>
  <c r="BF16" i="1"/>
  <c r="AZ16" i="1"/>
  <c r="BA16" i="1"/>
  <c r="AV16" i="1"/>
  <c r="BJ16" i="1"/>
  <c r="AW16" i="1"/>
  <c r="DB13" i="1"/>
  <c r="DJ13" i="1"/>
  <c r="DJ11" i="1"/>
  <c r="CW11" i="1"/>
  <c r="DA11" i="1"/>
  <c r="BG5" i="1"/>
  <c r="AU5" i="1"/>
  <c r="AS5" i="1"/>
  <c r="AR5" i="1"/>
  <c r="BJ5" i="1"/>
  <c r="BI5" i="1"/>
  <c r="BF5" i="1"/>
  <c r="BC5" i="1"/>
  <c r="BL5" i="1"/>
  <c r="AX5" i="1"/>
  <c r="BO5" i="1"/>
  <c r="DF22" i="1"/>
  <c r="E132" i="3"/>
  <c r="K145" i="3"/>
  <c r="K150" i="3"/>
  <c r="K148" i="3"/>
  <c r="K131" i="3"/>
  <c r="K11" i="9"/>
  <c r="L143" i="3"/>
  <c r="L149" i="3"/>
  <c r="L142" i="3"/>
  <c r="L9" i="9"/>
  <c r="B131" i="3"/>
  <c r="L12" i="9"/>
  <c r="K152" i="3"/>
  <c r="I145" i="3"/>
  <c r="K140" i="3"/>
  <c r="I134" i="3"/>
  <c r="L134" i="3"/>
  <c r="H133" i="3"/>
  <c r="B136" i="3"/>
  <c r="K139" i="3"/>
  <c r="M139" i="3"/>
  <c r="I143" i="3"/>
  <c r="L153" i="3"/>
  <c r="L133" i="3"/>
  <c r="H148" i="3"/>
  <c r="G131" i="3"/>
  <c r="G11" i="9"/>
  <c r="K141" i="3"/>
  <c r="I153" i="3"/>
  <c r="H143" i="3"/>
  <c r="M145" i="3"/>
  <c r="G153" i="3"/>
  <c r="E146" i="3"/>
  <c r="F146" i="3"/>
  <c r="L152" i="3"/>
  <c r="F150" i="3"/>
  <c r="E145" i="3"/>
  <c r="C153" i="3"/>
  <c r="I135" i="3"/>
  <c r="L145" i="3"/>
  <c r="L155" i="3"/>
  <c r="G146" i="3"/>
  <c r="K132" i="3"/>
  <c r="K133" i="3"/>
  <c r="C132" i="3"/>
  <c r="M135" i="3"/>
  <c r="C136" i="3"/>
  <c r="K137" i="3"/>
  <c r="M138" i="3"/>
  <c r="F136" i="3"/>
  <c r="L132" i="3"/>
  <c r="I136" i="3"/>
  <c r="F153" i="3"/>
  <c r="I147" i="3"/>
  <c r="I131" i="3"/>
  <c r="I11" i="9"/>
  <c r="K143" i="3"/>
  <c r="K136" i="3"/>
  <c r="I137" i="3"/>
  <c r="F147" i="3"/>
  <c r="F134" i="3"/>
  <c r="C134" i="3"/>
  <c r="I133" i="3"/>
  <c r="I148" i="3"/>
  <c r="L140" i="3"/>
  <c r="G148" i="3"/>
  <c r="H147" i="3"/>
  <c r="K153" i="3"/>
  <c r="C152" i="3"/>
  <c r="M147" i="3"/>
  <c r="M146" i="3"/>
  <c r="C148" i="3"/>
  <c r="L138" i="3"/>
  <c r="L136" i="3"/>
  <c r="F140" i="3"/>
  <c r="E138" i="3"/>
  <c r="I146" i="3"/>
  <c r="K147" i="3"/>
  <c r="K149" i="3"/>
  <c r="K154" i="3"/>
  <c r="K9" i="9"/>
  <c r="I152" i="3"/>
  <c r="L137" i="3"/>
  <c r="F138" i="3"/>
  <c r="C138" i="3"/>
  <c r="D132" i="3"/>
  <c r="I150" i="3"/>
  <c r="I140" i="3"/>
  <c r="L150" i="3"/>
  <c r="G136" i="3"/>
  <c r="G134" i="3"/>
  <c r="C142" i="3"/>
  <c r="K134" i="3"/>
  <c r="M141" i="3"/>
  <c r="C135" i="3"/>
  <c r="I141" i="3"/>
  <c r="F135" i="3"/>
  <c r="B142" i="3"/>
  <c r="B135" i="3"/>
  <c r="B137" i="3"/>
  <c r="B149" i="3"/>
  <c r="B9" i="9"/>
  <c r="BZ56" i="1"/>
  <c r="DJ56" i="1"/>
  <c r="CX56" i="1"/>
  <c r="CQ56" i="1"/>
  <c r="CP56" i="1"/>
  <c r="BX56" i="1"/>
  <c r="DL56" i="1"/>
  <c r="BR56" i="1"/>
  <c r="CB56" i="1"/>
  <c r="CV56" i="1"/>
  <c r="BU56" i="1"/>
  <c r="DN56" i="1"/>
  <c r="BS56" i="1"/>
  <c r="CL56" i="1"/>
  <c r="DD56" i="1"/>
  <c r="BP56" i="1"/>
  <c r="CS56" i="1"/>
  <c r="CI56" i="1"/>
  <c r="CD56" i="1"/>
  <c r="CR56" i="1"/>
  <c r="CZ56" i="1"/>
  <c r="CG56" i="1"/>
  <c r="BQ56" i="1"/>
  <c r="C143" i="3"/>
  <c r="N143" i="3"/>
  <c r="D148" i="3"/>
  <c r="N148" i="3"/>
  <c r="D149" i="3"/>
  <c r="D139" i="3"/>
  <c r="D154" i="3"/>
  <c r="D9" i="9"/>
  <c r="N149" i="3"/>
  <c r="N139" i="3"/>
  <c r="N154" i="3"/>
  <c r="N142" i="3"/>
  <c r="N9" i="9"/>
  <c r="C137" i="3"/>
  <c r="N137" i="3"/>
  <c r="C141" i="3"/>
  <c r="N141" i="3"/>
  <c r="C139" i="3"/>
  <c r="N133" i="3"/>
  <c r="N152" i="3"/>
  <c r="D141" i="3"/>
  <c r="G152" i="3"/>
  <c r="G137" i="3"/>
  <c r="N135" i="3"/>
  <c r="G150" i="3"/>
  <c r="M136" i="3"/>
  <c r="C149" i="3"/>
  <c r="C154" i="3"/>
  <c r="C9" i="9"/>
  <c r="N138" i="3"/>
  <c r="H149" i="3"/>
  <c r="H9" i="9"/>
  <c r="M131" i="3"/>
  <c r="M11" i="9"/>
  <c r="D153" i="3"/>
  <c r="N153" i="3"/>
  <c r="F131" i="3"/>
  <c r="F11" i="9"/>
  <c r="N136" i="3"/>
  <c r="D136" i="3"/>
  <c r="N147" i="3"/>
  <c r="G147" i="3"/>
  <c r="D147" i="3"/>
  <c r="D137" i="3"/>
  <c r="G141" i="3"/>
  <c r="C133" i="3"/>
  <c r="M149" i="3"/>
  <c r="M142" i="3"/>
  <c r="M9" i="9"/>
  <c r="M133" i="3"/>
  <c r="M140" i="3"/>
  <c r="N134" i="3"/>
  <c r="D145" i="3"/>
  <c r="D133" i="3"/>
  <c r="C140" i="3"/>
  <c r="N140" i="3"/>
  <c r="H131" i="3"/>
  <c r="H11" i="9"/>
  <c r="C150" i="3"/>
  <c r="N150" i="3"/>
  <c r="C145" i="3"/>
  <c r="N145" i="3"/>
  <c r="C146" i="3"/>
  <c r="N146" i="3"/>
  <c r="N132" i="3"/>
  <c r="G138" i="3"/>
  <c r="D138" i="3"/>
  <c r="D140" i="3"/>
  <c r="D135" i="3"/>
  <c r="K135" i="3"/>
  <c r="M143" i="3"/>
  <c r="M150" i="3"/>
  <c r="M134" i="3"/>
  <c r="M152" i="3"/>
  <c r="BR18" i="1"/>
  <c r="BT18" i="1"/>
  <c r="BR4" i="1"/>
  <c r="BT4" i="1"/>
  <c r="BR37" i="1"/>
  <c r="BT37" i="1"/>
  <c r="CJ5" i="1"/>
  <c r="DI5" i="1"/>
  <c r="DD32" i="1"/>
  <c r="CE32" i="1"/>
  <c r="DA43" i="1"/>
  <c r="CB43" i="1"/>
  <c r="DP65" i="1"/>
  <c r="CQ65" i="1"/>
  <c r="DQ9" i="1"/>
  <c r="CR9" i="1"/>
  <c r="CV53" i="1"/>
  <c r="BW53" i="1"/>
  <c r="DE29" i="1"/>
  <c r="CF29" i="1"/>
  <c r="CY6" i="1"/>
  <c r="BZ6" i="1"/>
  <c r="CZ27" i="1"/>
  <c r="CA27" i="1"/>
  <c r="CF31" i="1"/>
  <c r="DE31" i="1"/>
  <c r="CK52" i="1"/>
  <c r="DJ52" i="1"/>
  <c r="DD63" i="1"/>
  <c r="CE63" i="1"/>
  <c r="CD51" i="1"/>
  <c r="DC51" i="1"/>
  <c r="CK41" i="1"/>
  <c r="DJ41" i="1"/>
  <c r="CO26" i="1"/>
  <c r="DN26" i="1"/>
  <c r="DD12" i="1"/>
  <c r="CE12" i="1"/>
  <c r="CQ5" i="1"/>
  <c r="DP5" i="1"/>
  <c r="CZ34" i="1"/>
  <c r="CA34" i="1"/>
  <c r="DD43" i="1"/>
  <c r="CE43" i="1"/>
  <c r="CZ5" i="1"/>
  <c r="CA5" i="1"/>
  <c r="DM16" i="1"/>
  <c r="CN16" i="1"/>
  <c r="BW43" i="1"/>
  <c r="CV43" i="1"/>
  <c r="DB65" i="1"/>
  <c r="CC65" i="1"/>
  <c r="DN18" i="1"/>
  <c r="CO18" i="1"/>
  <c r="CX50" i="1"/>
  <c r="BY50" i="1"/>
  <c r="CW24" i="1"/>
  <c r="BX24" i="1"/>
  <c r="CO44" i="1"/>
  <c r="DN44" i="1"/>
  <c r="CU61" i="1"/>
  <c r="BQ61" i="1"/>
  <c r="BV61" i="1"/>
  <c r="BS61" i="1"/>
  <c r="BP61" i="1"/>
  <c r="CS61" i="1"/>
  <c r="DM61" i="1"/>
  <c r="CN61" i="1"/>
  <c r="CV26" i="1"/>
  <c r="BW26" i="1"/>
  <c r="DF4" i="1"/>
  <c r="CG4" i="1"/>
  <c r="CP27" i="1"/>
  <c r="DO27" i="1"/>
  <c r="CE52" i="1"/>
  <c r="DD52" i="1"/>
  <c r="DA63" i="1"/>
  <c r="CB63" i="1"/>
  <c r="BX51" i="1"/>
  <c r="CW51" i="1"/>
  <c r="DG41" i="1"/>
  <c r="CH41" i="1"/>
  <c r="DP37" i="1"/>
  <c r="CQ37" i="1"/>
  <c r="DJ39" i="1"/>
  <c r="CK39" i="1"/>
  <c r="DQ10" i="1"/>
  <c r="CR10" i="1"/>
  <c r="CU12" i="1"/>
  <c r="BV12" i="1"/>
  <c r="DB5" i="1"/>
  <c r="CC5" i="1"/>
  <c r="DK34" i="1"/>
  <c r="CL34" i="1"/>
  <c r="CX43" i="1"/>
  <c r="BY43" i="1"/>
  <c r="BU58" i="1"/>
  <c r="CT58" i="1"/>
  <c r="AS58" i="1"/>
  <c r="DQ5" i="1"/>
  <c r="CR5" i="1"/>
  <c r="DF16" i="1"/>
  <c r="CG16" i="1"/>
  <c r="CY43" i="1"/>
  <c r="BZ43" i="1"/>
  <c r="BR60" i="1"/>
  <c r="BS60" i="1"/>
  <c r="BT60" i="1"/>
  <c r="CU60" i="1"/>
  <c r="BP60" i="1"/>
  <c r="CS60" i="1"/>
  <c r="BQ60" i="1"/>
  <c r="BV60" i="1"/>
  <c r="DE48" i="1"/>
  <c r="CF48" i="1"/>
  <c r="DP55" i="1"/>
  <c r="CQ55" i="1"/>
  <c r="DG35" i="1"/>
  <c r="CH35" i="1"/>
  <c r="BV59" i="1"/>
  <c r="CU59" i="1"/>
  <c r="CF61" i="1"/>
  <c r="DE61" i="1"/>
  <c r="CO19" i="1"/>
  <c r="DN19" i="1"/>
  <c r="BW27" i="1"/>
  <c r="CV27" i="1"/>
  <c r="CC52" i="1"/>
  <c r="DB52" i="1"/>
  <c r="DN63" i="1"/>
  <c r="CO63" i="1"/>
  <c r="CA37" i="1"/>
  <c r="CZ37" i="1"/>
  <c r="DJ49" i="1"/>
  <c r="CK49" i="1"/>
  <c r="CB12" i="1"/>
  <c r="DA12" i="1"/>
  <c r="CG30" i="1"/>
  <c r="DF30" i="1"/>
  <c r="CY34" i="1"/>
  <c r="BZ34" i="1"/>
  <c r="DO46" i="1"/>
  <c r="CP46" i="1"/>
  <c r="CQ46" i="1"/>
  <c r="DP46" i="1"/>
  <c r="BV25" i="1"/>
  <c r="CU25" i="1"/>
  <c r="CG43" i="1"/>
  <c r="DF43" i="1"/>
  <c r="CQ62" i="1"/>
  <c r="DP62" i="1"/>
  <c r="BW9" i="1"/>
  <c r="CV9" i="1"/>
  <c r="CD48" i="1"/>
  <c r="DC48" i="1"/>
  <c r="CY55" i="1"/>
  <c r="BZ55" i="1"/>
  <c r="BW21" i="1"/>
  <c r="CV21" i="1"/>
  <c r="BR50" i="1"/>
  <c r="CT50" i="1"/>
  <c r="BP50" i="1"/>
  <c r="CS50" i="1"/>
  <c r="BS50" i="1"/>
  <c r="BT50" i="1"/>
  <c r="BQ50" i="1"/>
  <c r="BU50" i="1"/>
  <c r="CX57" i="1"/>
  <c r="BY57" i="1"/>
  <c r="DG24" i="1"/>
  <c r="CH24" i="1"/>
  <c r="DQ59" i="1"/>
  <c r="CR59" i="1"/>
  <c r="DH61" i="1"/>
  <c r="CI61" i="1"/>
  <c r="DO67" i="1"/>
  <c r="CP67" i="1"/>
  <c r="CU63" i="1"/>
  <c r="BV63" i="1"/>
  <c r="DB4" i="1"/>
  <c r="CC4" i="1"/>
  <c r="DC4" i="1"/>
  <c r="CD4" i="1"/>
  <c r="DA4" i="1"/>
  <c r="CB4" i="1"/>
  <c r="CZ19" i="1"/>
  <c r="CA19" i="1"/>
  <c r="DF19" i="1"/>
  <c r="CG19" i="1"/>
  <c r="DB27" i="1"/>
  <c r="CC27" i="1"/>
  <c r="DE27" i="1"/>
  <c r="CF27" i="1"/>
  <c r="CM31" i="1"/>
  <c r="DL31" i="1"/>
  <c r="BW31" i="1"/>
  <c r="CV31" i="1"/>
  <c r="CD52" i="1"/>
  <c r="DC52" i="1"/>
  <c r="CQ52" i="1"/>
  <c r="DP52" i="1"/>
  <c r="DQ52" i="1"/>
  <c r="CR52" i="1"/>
  <c r="BZ63" i="1"/>
  <c r="CY63" i="1"/>
  <c r="DJ63" i="1"/>
  <c r="CK63" i="1"/>
  <c r="DP51" i="1"/>
  <c r="CQ51" i="1"/>
  <c r="CR51" i="1"/>
  <c r="DQ51" i="1"/>
  <c r="DQ31" i="1"/>
  <c r="CR31" i="1"/>
  <c r="CL59" i="1"/>
  <c r="DK59" i="1"/>
  <c r="DC37" i="1"/>
  <c r="CD37" i="1"/>
  <c r="CY37" i="1"/>
  <c r="BZ37" i="1"/>
  <c r="BS39" i="1"/>
  <c r="BR39" i="1"/>
  <c r="BT39" i="1"/>
  <c r="BQ39" i="1"/>
  <c r="CT39" i="1"/>
  <c r="BU39" i="1"/>
  <c r="BP39" i="1"/>
  <c r="CS39" i="1"/>
  <c r="DD39" i="1"/>
  <c r="CE39" i="1"/>
  <c r="CQ41" i="1"/>
  <c r="DP41" i="1"/>
  <c r="CW41" i="1"/>
  <c r="BX41" i="1"/>
  <c r="DC41" i="1"/>
  <c r="CD41" i="1"/>
  <c r="CJ26" i="1"/>
  <c r="DI26" i="1"/>
  <c r="CY26" i="1"/>
  <c r="BZ26" i="1"/>
  <c r="CG26" i="1"/>
  <c r="DF26" i="1"/>
  <c r="CK26" i="1"/>
  <c r="DJ26" i="1"/>
  <c r="CY49" i="1"/>
  <c r="BZ49" i="1"/>
  <c r="CT49" i="1"/>
  <c r="BU49" i="1"/>
  <c r="BR49" i="1"/>
  <c r="BS49" i="1"/>
  <c r="BT49" i="1"/>
  <c r="BP49" i="1"/>
  <c r="CS49" i="1"/>
  <c r="BQ49" i="1"/>
  <c r="DH10" i="1"/>
  <c r="CI10" i="1"/>
  <c r="DP10" i="1"/>
  <c r="CQ10" i="1"/>
  <c r="CV10" i="1"/>
  <c r="BW10" i="1"/>
  <c r="CP12" i="1"/>
  <c r="DO12" i="1"/>
  <c r="DC12" i="1"/>
  <c r="CD12" i="1"/>
  <c r="DK12" i="1"/>
  <c r="CL12" i="1"/>
  <c r="CJ23" i="1"/>
  <c r="DI23" i="1"/>
  <c r="CG23" i="1"/>
  <c r="DF23" i="1"/>
  <c r="DC23" i="1"/>
  <c r="CD23" i="1"/>
  <c r="DJ5" i="1"/>
  <c r="CK5" i="1"/>
  <c r="DA5" i="1"/>
  <c r="CB5" i="1"/>
  <c r="DD30" i="1"/>
  <c r="CE30" i="1"/>
  <c r="CO30" i="1"/>
  <c r="DN30" i="1"/>
  <c r="DQ34" i="1"/>
  <c r="CR34" i="1"/>
  <c r="CO34" i="1"/>
  <c r="DN34" i="1"/>
  <c r="CV34" i="1"/>
  <c r="BW34" i="1"/>
  <c r="CT43" i="1"/>
  <c r="BR43" i="1"/>
  <c r="BU43" i="1"/>
  <c r="BQ43" i="1"/>
  <c r="BP43" i="1"/>
  <c r="CS43" i="1"/>
  <c r="BS43" i="1"/>
  <c r="CF43" i="1"/>
  <c r="DE43" i="1"/>
  <c r="BW46" i="1"/>
  <c r="CV46" i="1"/>
  <c r="DC46" i="1"/>
  <c r="CD46" i="1"/>
  <c r="DF46" i="1"/>
  <c r="CG46" i="1"/>
  <c r="CW8" i="1"/>
  <c r="BX8" i="1"/>
  <c r="AV8" i="1"/>
  <c r="DL5" i="1"/>
  <c r="CM5" i="1"/>
  <c r="DK25" i="1"/>
  <c r="CL25" i="1"/>
  <c r="BR25" i="1"/>
  <c r="BS25" i="1"/>
  <c r="CT25" i="1"/>
  <c r="BQ25" i="1"/>
  <c r="BP25" i="1"/>
  <c r="CS25" i="1"/>
  <c r="BU25" i="1"/>
  <c r="CZ32" i="1"/>
  <c r="CA32" i="1"/>
  <c r="CA43" i="1"/>
  <c r="CZ43" i="1"/>
  <c r="CI43" i="1"/>
  <c r="DH43" i="1"/>
  <c r="BW60" i="1"/>
  <c r="CV60" i="1"/>
  <c r="CK62" i="1"/>
  <c r="DJ62" i="1"/>
  <c r="CH65" i="1"/>
  <c r="DG65" i="1"/>
  <c r="DF7" i="1"/>
  <c r="CG7" i="1"/>
  <c r="CX9" i="1"/>
  <c r="BY9" i="1"/>
  <c r="BP9" i="1"/>
  <c r="CS9" i="1"/>
  <c r="BS9" i="1"/>
  <c r="BR9" i="1"/>
  <c r="CT9" i="1"/>
  <c r="BQ9" i="1"/>
  <c r="BU9" i="1"/>
  <c r="BQ18" i="1"/>
  <c r="CU18" i="1"/>
  <c r="BV18" i="1"/>
  <c r="BP18" i="1"/>
  <c r="CS18" i="1"/>
  <c r="CH48" i="1"/>
  <c r="DG48" i="1"/>
  <c r="DB48" i="1"/>
  <c r="CC48" i="1"/>
  <c r="CQ53" i="1"/>
  <c r="DP53" i="1"/>
  <c r="CN53" i="1"/>
  <c r="DM53" i="1"/>
  <c r="CP55" i="1"/>
  <c r="DO55" i="1"/>
  <c r="CM55" i="1"/>
  <c r="DL55" i="1"/>
  <c r="DQ21" i="1"/>
  <c r="CR21" i="1"/>
  <c r="CZ21" i="1"/>
  <c r="CA21" i="1"/>
  <c r="DA29" i="1"/>
  <c r="CB29" i="1"/>
  <c r="CU29" i="1"/>
  <c r="BV29" i="1"/>
  <c r="CU50" i="1"/>
  <c r="BV50" i="1"/>
  <c r="DF57" i="1"/>
  <c r="CG57" i="1"/>
  <c r="CM57" i="1"/>
  <c r="DL57" i="1"/>
  <c r="DJ6" i="1"/>
  <c r="CK6" i="1"/>
  <c r="CY24" i="1"/>
  <c r="BZ24" i="1"/>
  <c r="BY24" i="1"/>
  <c r="CX24" i="1"/>
  <c r="CI35" i="1"/>
  <c r="DH35" i="1"/>
  <c r="DM35" i="1"/>
  <c r="CN35" i="1"/>
  <c r="DE44" i="1"/>
  <c r="CF44" i="1"/>
  <c r="DH59" i="1"/>
  <c r="CI59" i="1"/>
  <c r="DC59" i="1"/>
  <c r="CD59" i="1"/>
  <c r="CK61" i="1"/>
  <c r="DJ61" i="1"/>
  <c r="CW61" i="1"/>
  <c r="BX61" i="1"/>
  <c r="DM67" i="1"/>
  <c r="CN67" i="1"/>
  <c r="CI67" i="1"/>
  <c r="DH67" i="1"/>
  <c r="DJ4" i="1"/>
  <c r="CK4" i="1"/>
  <c r="DL4" i="1"/>
  <c r="CM4" i="1"/>
  <c r="DK4" i="1"/>
  <c r="CL4" i="1"/>
  <c r="DM19" i="1"/>
  <c r="CN19" i="1"/>
  <c r="DQ19" i="1"/>
  <c r="CR19" i="1"/>
  <c r="CW19" i="1"/>
  <c r="BX19" i="1"/>
  <c r="DH27" i="1"/>
  <c r="CI27" i="1"/>
  <c r="CL27" i="1"/>
  <c r="DK27" i="1"/>
  <c r="DC31" i="1"/>
  <c r="CD31" i="1"/>
  <c r="CE31" i="1"/>
  <c r="DD31" i="1"/>
  <c r="DJ31" i="1"/>
  <c r="CK31" i="1"/>
  <c r="DL52" i="1"/>
  <c r="CM52" i="1"/>
  <c r="CW52" i="1"/>
  <c r="BX52" i="1"/>
  <c r="AT28" i="1"/>
  <c r="BV28" i="1"/>
  <c r="CU28" i="1"/>
  <c r="CD63" i="1"/>
  <c r="DC63" i="1"/>
  <c r="DI63" i="1"/>
  <c r="CJ63" i="1"/>
  <c r="CP51" i="1"/>
  <c r="DO51" i="1"/>
  <c r="CV51" i="1"/>
  <c r="BW51" i="1"/>
  <c r="BV51" i="1"/>
  <c r="CU51" i="1"/>
  <c r="DB49" i="1"/>
  <c r="CC49" i="1"/>
  <c r="DB59" i="1"/>
  <c r="CC59" i="1"/>
  <c r="DM37" i="1"/>
  <c r="CN37" i="1"/>
  <c r="CI37" i="1"/>
  <c r="DH37" i="1"/>
  <c r="DO37" i="1"/>
  <c r="CP37" i="1"/>
  <c r="DB39" i="1"/>
  <c r="CC39" i="1"/>
  <c r="CU39" i="1"/>
  <c r="BV39" i="1"/>
  <c r="BZ41" i="1"/>
  <c r="CY41" i="1"/>
  <c r="DD41" i="1"/>
  <c r="CE41" i="1"/>
  <c r="CL41" i="1"/>
  <c r="DK41" i="1"/>
  <c r="DD26" i="1"/>
  <c r="CE26" i="1"/>
  <c r="CM26" i="1"/>
  <c r="DL26" i="1"/>
  <c r="DP49" i="1"/>
  <c r="CQ49" i="1"/>
  <c r="DG49" i="1"/>
  <c r="CH49" i="1"/>
  <c r="DD10" i="1"/>
  <c r="CE10" i="1"/>
  <c r="CU10" i="1"/>
  <c r="BV10" i="1"/>
  <c r="DF10" i="1"/>
  <c r="CG10" i="1"/>
  <c r="BZ12" i="1"/>
  <c r="CY12" i="1"/>
  <c r="CO12" i="1"/>
  <c r="DN12" i="1"/>
  <c r="DG12" i="1"/>
  <c r="CH12" i="1"/>
  <c r="CL23" i="1"/>
  <c r="DK23" i="1"/>
  <c r="CX23" i="1"/>
  <c r="BY23" i="1"/>
  <c r="CR23" i="1"/>
  <c r="DQ23" i="1"/>
  <c r="DG5" i="1"/>
  <c r="CH5" i="1"/>
  <c r="DD5" i="1"/>
  <c r="CE5" i="1"/>
  <c r="DI30" i="1"/>
  <c r="CJ30" i="1"/>
  <c r="CY30" i="1"/>
  <c r="BZ30" i="1"/>
  <c r="DL34" i="1"/>
  <c r="CM34" i="1"/>
  <c r="CI34" i="1"/>
  <c r="DH34" i="1"/>
  <c r="CG34" i="1"/>
  <c r="DF34" i="1"/>
  <c r="CN43" i="1"/>
  <c r="DM43" i="1"/>
  <c r="DK43" i="1"/>
  <c r="CL43" i="1"/>
  <c r="CY46" i="1"/>
  <c r="BZ46" i="1"/>
  <c r="BV46" i="1"/>
  <c r="CU46" i="1"/>
  <c r="CR46" i="1"/>
  <c r="DQ46" i="1"/>
  <c r="BS21" i="1"/>
  <c r="BT21" i="1"/>
  <c r="BQ27" i="1"/>
  <c r="BT33" i="1"/>
  <c r="BR52" i="1"/>
  <c r="BQ4" i="1"/>
  <c r="DN5" i="1"/>
  <c r="CO5" i="1"/>
  <c r="BY16" i="1"/>
  <c r="CX16" i="1"/>
  <c r="DQ32" i="1"/>
  <c r="CR32" i="1"/>
  <c r="CN60" i="1"/>
  <c r="DM60" i="1"/>
  <c r="CP65" i="1"/>
  <c r="DO65" i="1"/>
  <c r="DN7" i="1"/>
  <c r="CO7" i="1"/>
  <c r="DH48" i="1"/>
  <c r="CI48" i="1"/>
  <c r="CU21" i="1"/>
  <c r="BP21" i="1"/>
  <c r="CS21" i="1"/>
  <c r="BV21" i="1"/>
  <c r="CI57" i="1"/>
  <c r="DH57" i="1"/>
  <c r="CB6" i="1"/>
  <c r="DA6" i="1"/>
  <c r="CD44" i="1"/>
  <c r="DC44" i="1"/>
  <c r="CR61" i="1"/>
  <c r="DQ61" i="1"/>
  <c r="DF61" i="1"/>
  <c r="CG61" i="1"/>
  <c r="CE27" i="1"/>
  <c r="DD27" i="1"/>
  <c r="CY19" i="1"/>
  <c r="BZ19" i="1"/>
  <c r="DK31" i="1"/>
  <c r="CL31" i="1"/>
  <c r="CC51" i="1"/>
  <c r="DB51" i="1"/>
  <c r="DD37" i="1"/>
  <c r="CE37" i="1"/>
  <c r="BW39" i="1"/>
  <c r="CV39" i="1"/>
  <c r="DE41" i="1"/>
  <c r="CF41" i="1"/>
  <c r="CW26" i="1"/>
  <c r="BX26" i="1"/>
  <c r="CW49" i="1"/>
  <c r="BX49" i="1"/>
  <c r="DA10" i="1"/>
  <c r="CB10" i="1"/>
  <c r="CT14" i="1"/>
  <c r="AS14" i="1"/>
  <c r="BU14" i="1"/>
  <c r="CF23" i="1"/>
  <c r="DE23" i="1"/>
  <c r="CF30" i="1"/>
  <c r="DE30" i="1"/>
  <c r="CQ34" i="1"/>
  <c r="DP34" i="1"/>
  <c r="CO46" i="1"/>
  <c r="DN46" i="1"/>
  <c r="CW5" i="1"/>
  <c r="BX5" i="1"/>
  <c r="CV32" i="1"/>
  <c r="BW32" i="1"/>
  <c r="BY62" i="1"/>
  <c r="CX62" i="1"/>
  <c r="CY9" i="1"/>
  <c r="BZ9" i="1"/>
  <c r="CG48" i="1"/>
  <c r="DF48" i="1"/>
  <c r="DD53" i="1"/>
  <c r="CE53" i="1"/>
  <c r="CY57" i="1"/>
  <c r="BZ57" i="1"/>
  <c r="BQ6" i="1"/>
  <c r="CV6" i="1"/>
  <c r="BR6" i="1"/>
  <c r="BS6" i="1"/>
  <c r="BT6" i="1"/>
  <c r="BW6" i="1"/>
  <c r="BP6" i="1"/>
  <c r="CS6" i="1"/>
  <c r="CF35" i="1"/>
  <c r="DE35" i="1"/>
  <c r="DG64" i="1"/>
  <c r="CH64" i="1"/>
  <c r="CR67" i="1"/>
  <c r="DQ67" i="1"/>
  <c r="CV4" i="1"/>
  <c r="BW4" i="1"/>
  <c r="DO19" i="1"/>
  <c r="CP19" i="1"/>
  <c r="DP27" i="1"/>
  <c r="CQ27" i="1"/>
  <c r="DB31" i="1"/>
  <c r="CC31" i="1"/>
  <c r="DP31" i="1"/>
  <c r="CQ31" i="1"/>
  <c r="CN63" i="1"/>
  <c r="DM63" i="1"/>
  <c r="BX63" i="1"/>
  <c r="CW63" i="1"/>
  <c r="BZ39" i="1"/>
  <c r="CY39" i="1"/>
  <c r="CC41" i="1"/>
  <c r="DB41" i="1"/>
  <c r="BP26" i="1"/>
  <c r="CS26" i="1"/>
  <c r="BU26" i="1"/>
  <c r="BS26" i="1"/>
  <c r="BR26" i="1"/>
  <c r="BQ26" i="1"/>
  <c r="CT26" i="1"/>
  <c r="DF49" i="1"/>
  <c r="CG49" i="1"/>
  <c r="DD49" i="1"/>
  <c r="CE49" i="1"/>
  <c r="CZ10" i="1"/>
  <c r="CA10" i="1"/>
  <c r="CA12" i="1"/>
  <c r="CZ12" i="1"/>
  <c r="DA23" i="1"/>
  <c r="CB23" i="1"/>
  <c r="DJ30" i="1"/>
  <c r="CK30" i="1"/>
  <c r="DE34" i="1"/>
  <c r="CF34" i="1"/>
  <c r="BY46" i="1"/>
  <c r="CX46" i="1"/>
  <c r="CY16" i="1"/>
  <c r="BZ16" i="1"/>
  <c r="DK32" i="1"/>
  <c r="CL32" i="1"/>
  <c r="CR43" i="1"/>
  <c r="DQ43" i="1"/>
  <c r="DF60" i="1"/>
  <c r="CG60" i="1"/>
  <c r="BW65" i="1"/>
  <c r="CV65" i="1"/>
  <c r="DL7" i="1"/>
  <c r="CM7" i="1"/>
  <c r="CH9" i="1"/>
  <c r="DG9" i="1"/>
  <c r="CR53" i="1"/>
  <c r="DQ53" i="1"/>
  <c r="BZ21" i="1"/>
  <c r="CY21" i="1"/>
  <c r="CO29" i="1"/>
  <c r="DN29" i="1"/>
  <c r="CH57" i="1"/>
  <c r="DG57" i="1"/>
  <c r="BV35" i="1"/>
  <c r="BS35" i="1"/>
  <c r="CU35" i="1"/>
  <c r="DI44" i="1"/>
  <c r="CJ44" i="1"/>
  <c r="DG61" i="1"/>
  <c r="CH61" i="1"/>
  <c r="DN67" i="1"/>
  <c r="CO67" i="1"/>
  <c r="CM63" i="1"/>
  <c r="DL63" i="1"/>
  <c r="DP4" i="1"/>
  <c r="CQ4" i="1"/>
  <c r="CO31" i="1"/>
  <c r="DN31" i="1"/>
  <c r="CC63" i="1"/>
  <c r="DB63" i="1"/>
  <c r="DH51" i="1"/>
  <c r="CI51" i="1"/>
  <c r="CL37" i="1"/>
  <c r="DK37" i="1"/>
  <c r="DM41" i="1"/>
  <c r="CN41" i="1"/>
  <c r="DK26" i="1"/>
  <c r="CL26" i="1"/>
  <c r="CM49" i="1"/>
  <c r="DL49" i="1"/>
  <c r="CL10" i="1"/>
  <c r="DK10" i="1"/>
  <c r="DP12" i="1"/>
  <c r="CQ12" i="1"/>
  <c r="CX12" i="1"/>
  <c r="BY12" i="1"/>
  <c r="CH23" i="1"/>
  <c r="DG23" i="1"/>
  <c r="DO23" i="1"/>
  <c r="CP23" i="1"/>
  <c r="DF5" i="1"/>
  <c r="CG5" i="1"/>
  <c r="DO30" i="1"/>
  <c r="CP30" i="1"/>
  <c r="CX34" i="1"/>
  <c r="BY34" i="1"/>
  <c r="CI46" i="1"/>
  <c r="DH46" i="1"/>
  <c r="DC25" i="1"/>
  <c r="CD25" i="1"/>
  <c r="BZ60" i="1"/>
  <c r="CY60" i="1"/>
  <c r="DO18" i="1"/>
  <c r="CP18" i="1"/>
  <c r="CC53" i="1"/>
  <c r="DB53" i="1"/>
  <c r="CD50" i="1"/>
  <c r="DC50" i="1"/>
  <c r="CI24" i="1"/>
  <c r="DH24" i="1"/>
  <c r="CT59" i="1"/>
  <c r="BU59" i="1"/>
  <c r="BS59" i="1"/>
  <c r="BR59" i="1"/>
  <c r="BT59" i="1"/>
  <c r="BQ59" i="1"/>
  <c r="BP59" i="1"/>
  <c r="CS59" i="1"/>
  <c r="CL61" i="1"/>
  <c r="DK61" i="1"/>
  <c r="CW31" i="1"/>
  <c r="BX31" i="1"/>
  <c r="DP19" i="1"/>
  <c r="CQ19" i="1"/>
  <c r="DK5" i="1"/>
  <c r="CL5" i="1"/>
  <c r="DH16" i="1"/>
  <c r="CI16" i="1"/>
  <c r="CF25" i="1"/>
  <c r="DE25" i="1"/>
  <c r="DN25" i="1"/>
  <c r="CO25" i="1"/>
  <c r="DG32" i="1"/>
  <c r="CH32" i="1"/>
  <c r="CU43" i="1"/>
  <c r="BV43" i="1"/>
  <c r="CW43" i="1"/>
  <c r="BX43" i="1"/>
  <c r="CB60" i="1"/>
  <c r="DA60" i="1"/>
  <c r="BV62" i="1"/>
  <c r="CU62" i="1"/>
  <c r="BP62" i="1"/>
  <c r="CS62" i="1"/>
  <c r="BQ62" i="1"/>
  <c r="BS62" i="1"/>
  <c r="BR62" i="1"/>
  <c r="BT62" i="1"/>
  <c r="CG62" i="1"/>
  <c r="DF62" i="1"/>
  <c r="CC7" i="1"/>
  <c r="DB7" i="1"/>
  <c r="DC7" i="1"/>
  <c r="CD7" i="1"/>
  <c r="DN9" i="1"/>
  <c r="CO9" i="1"/>
  <c r="DJ18" i="1"/>
  <c r="CK18" i="1"/>
  <c r="CJ48" i="1"/>
  <c r="DI48" i="1"/>
  <c r="DP48" i="1"/>
  <c r="CQ48" i="1"/>
  <c r="CA53" i="1"/>
  <c r="CZ53" i="1"/>
  <c r="DE55" i="1"/>
  <c r="CF55" i="1"/>
  <c r="CJ55" i="1"/>
  <c r="DI55" i="1"/>
  <c r="DN21" i="1"/>
  <c r="CO21" i="1"/>
  <c r="CB21" i="1"/>
  <c r="DA21" i="1"/>
  <c r="CG29" i="1"/>
  <c r="DF29" i="1"/>
  <c r="CT29" i="1"/>
  <c r="BU29" i="1"/>
  <c r="BP29" i="1"/>
  <c r="CS29" i="1"/>
  <c r="BR29" i="1"/>
  <c r="BQ29" i="1"/>
  <c r="BS29" i="1"/>
  <c r="BT29" i="1"/>
  <c r="CK50" i="1"/>
  <c r="DJ50" i="1"/>
  <c r="CT57" i="1"/>
  <c r="BU57" i="1"/>
  <c r="BR57" i="1"/>
  <c r="BS57" i="1"/>
  <c r="BQ57" i="1"/>
  <c r="BP57" i="1"/>
  <c r="CS57" i="1"/>
  <c r="CX6" i="1"/>
  <c r="BY6" i="1"/>
  <c r="CZ24" i="1"/>
  <c r="CA24" i="1"/>
  <c r="CP24" i="1"/>
  <c r="DO24" i="1"/>
  <c r="CB35" i="1"/>
  <c r="DA35" i="1"/>
  <c r="CG35" i="1"/>
  <c r="DF35" i="1"/>
  <c r="CW44" i="1"/>
  <c r="BX44" i="1"/>
  <c r="DP59" i="1"/>
  <c r="CQ59" i="1"/>
  <c r="DP61" i="1"/>
  <c r="CQ61" i="1"/>
  <c r="CB64" i="1"/>
  <c r="DA64" i="1"/>
  <c r="CX64" i="1"/>
  <c r="BY64" i="1"/>
  <c r="CL67" i="1"/>
  <c r="DK67" i="1"/>
  <c r="CE67" i="1"/>
  <c r="DD67" i="1"/>
  <c r="CI4" i="1"/>
  <c r="DH4" i="1"/>
  <c r="CU4" i="1"/>
  <c r="BV4" i="1"/>
  <c r="DN4" i="1"/>
  <c r="CO4" i="1"/>
  <c r="DL19" i="1"/>
  <c r="CM19" i="1"/>
  <c r="BY19" i="1"/>
  <c r="CX19" i="1"/>
  <c r="CJ19" i="1"/>
  <c r="DI19" i="1"/>
  <c r="CH27" i="1"/>
  <c r="DG27" i="1"/>
  <c r="BY27" i="1"/>
  <c r="CX27" i="1"/>
  <c r="CU31" i="1"/>
  <c r="BV31" i="1"/>
  <c r="CG31" i="1"/>
  <c r="DF31" i="1"/>
  <c r="CG52" i="1"/>
  <c r="DF52" i="1"/>
  <c r="BZ52" i="1"/>
  <c r="CY52" i="1"/>
  <c r="DN52" i="1"/>
  <c r="CO52" i="1"/>
  <c r="BU63" i="1"/>
  <c r="BQ63" i="1"/>
  <c r="CT63" i="1"/>
  <c r="BS63" i="1"/>
  <c r="BR63" i="1"/>
  <c r="BP63" i="1"/>
  <c r="CS63" i="1"/>
  <c r="CI63" i="1"/>
  <c r="DH63" i="1"/>
  <c r="DN51" i="1"/>
  <c r="CO51" i="1"/>
  <c r="DK51" i="1"/>
  <c r="CL51" i="1"/>
  <c r="CG51" i="1"/>
  <c r="DF51" i="1"/>
  <c r="DF59" i="1"/>
  <c r="CG59" i="1"/>
  <c r="DL59" i="1"/>
  <c r="CM59" i="1"/>
  <c r="BY37" i="1"/>
  <c r="CX37" i="1"/>
  <c r="DG37" i="1"/>
  <c r="CH37" i="1"/>
  <c r="DA37" i="1"/>
  <c r="CB37" i="1"/>
  <c r="CB39" i="1"/>
  <c r="DA39" i="1"/>
  <c r="DF39" i="1"/>
  <c r="CG39" i="1"/>
  <c r="CN39" i="1"/>
  <c r="DM39" i="1"/>
  <c r="DN41" i="1"/>
  <c r="CO41" i="1"/>
  <c r="DI41" i="1"/>
  <c r="CJ41" i="1"/>
  <c r="BW63" i="1"/>
  <c r="CV63" i="1"/>
  <c r="DC26" i="1"/>
  <c r="CD26" i="1"/>
  <c r="DP26" i="1"/>
  <c r="CQ26" i="1"/>
  <c r="BY26" i="1"/>
  <c r="CX26" i="1"/>
  <c r="CR49" i="1"/>
  <c r="DQ49" i="1"/>
  <c r="DE49" i="1"/>
  <c r="CF49" i="1"/>
  <c r="CN10" i="1"/>
  <c r="DM10" i="1"/>
  <c r="CK10" i="1"/>
  <c r="DJ10" i="1"/>
  <c r="CX10" i="1"/>
  <c r="BY10" i="1"/>
  <c r="DJ12" i="1"/>
  <c r="CK12" i="1"/>
  <c r="CJ12" i="1"/>
  <c r="DI12" i="1"/>
  <c r="BR12" i="1"/>
  <c r="BP12" i="1"/>
  <c r="CS12" i="1"/>
  <c r="CT12" i="1"/>
  <c r="BU12" i="1"/>
  <c r="BQ12" i="1"/>
  <c r="BS12" i="1"/>
  <c r="CO23" i="1"/>
  <c r="DN23" i="1"/>
  <c r="CC23" i="1"/>
  <c r="DB23" i="1"/>
  <c r="BX23" i="1"/>
  <c r="CW23" i="1"/>
  <c r="BX30" i="1"/>
  <c r="CW30" i="1"/>
  <c r="BU30" i="1"/>
  <c r="BP30" i="1"/>
  <c r="CS30" i="1"/>
  <c r="CT30" i="1"/>
  <c r="BQ30" i="1"/>
  <c r="BS30" i="1"/>
  <c r="BR30" i="1"/>
  <c r="BT30" i="1"/>
  <c r="CQ30" i="1"/>
  <c r="DP30" i="1"/>
  <c r="DK30" i="1"/>
  <c r="CL30" i="1"/>
  <c r="CC34" i="1"/>
  <c r="DB34" i="1"/>
  <c r="DD34" i="1"/>
  <c r="CE34" i="1"/>
  <c r="DI34" i="1"/>
  <c r="CJ34" i="1"/>
  <c r="DL43" i="1"/>
  <c r="CM43" i="1"/>
  <c r="DG46" i="1"/>
  <c r="CH46" i="1"/>
  <c r="DM46" i="1"/>
  <c r="CN46" i="1"/>
  <c r="DL46" i="1"/>
  <c r="CM46" i="1"/>
  <c r="CD62" i="1"/>
  <c r="DC62" i="1"/>
  <c r="CI7" i="1"/>
  <c r="DH7" i="1"/>
  <c r="CG18" i="1"/>
  <c r="DF18" i="1"/>
  <c r="CX48" i="1"/>
  <c r="BY48" i="1"/>
  <c r="CC55" i="1"/>
  <c r="DB55" i="1"/>
  <c r="CI21" i="1"/>
  <c r="DH21" i="1"/>
  <c r="CC29" i="1"/>
  <c r="DB29" i="1"/>
  <c r="CF50" i="1"/>
  <c r="DE50" i="1"/>
  <c r="DJ35" i="1"/>
  <c r="CK35" i="1"/>
  <c r="DQ44" i="1"/>
  <c r="CR44" i="1"/>
  <c r="CM61" i="1"/>
  <c r="DL61" i="1"/>
  <c r="DI67" i="1"/>
  <c r="CJ67" i="1"/>
  <c r="BX4" i="1"/>
  <c r="CW4" i="1"/>
  <c r="CL19" i="1"/>
  <c r="DK19" i="1"/>
  <c r="DJ27" i="1"/>
  <c r="CK27" i="1"/>
  <c r="DA31" i="1"/>
  <c r="CB31" i="1"/>
  <c r="DA59" i="1"/>
  <c r="CB59" i="1"/>
  <c r="BW37" i="1"/>
  <c r="CV37" i="1"/>
  <c r="DI39" i="1"/>
  <c r="CJ39" i="1"/>
  <c r="CY27" i="1"/>
  <c r="BZ27" i="1"/>
  <c r="DH26" i="1"/>
  <c r="CI26" i="1"/>
  <c r="DC49" i="1"/>
  <c r="CD49" i="1"/>
  <c r="BX10" i="1"/>
  <c r="CW10" i="1"/>
  <c r="CR12" i="1"/>
  <c r="DQ12" i="1"/>
  <c r="DH23" i="1"/>
  <c r="CI23" i="1"/>
  <c r="BW30" i="1"/>
  <c r="CV30" i="1"/>
  <c r="CK34" i="1"/>
  <c r="DJ34" i="1"/>
  <c r="CE46" i="1"/>
  <c r="DD46" i="1"/>
  <c r="CM16" i="1"/>
  <c r="DL16" i="1"/>
  <c r="CF32" i="1"/>
  <c r="DE32" i="1"/>
  <c r="CR60" i="1"/>
  <c r="DQ60" i="1"/>
  <c r="DQ62" i="1"/>
  <c r="CR62" i="1"/>
  <c r="CY7" i="1"/>
  <c r="BZ7" i="1"/>
  <c r="BV48" i="1"/>
  <c r="CU48" i="1"/>
  <c r="BR48" i="1"/>
  <c r="BQ48" i="1"/>
  <c r="BP48" i="1"/>
  <c r="CS48" i="1"/>
  <c r="CB55" i="1"/>
  <c r="DA55" i="1"/>
  <c r="DO21" i="1"/>
  <c r="CP21" i="1"/>
  <c r="DO50" i="1"/>
  <c r="CP50" i="1"/>
  <c r="CQ29" i="1"/>
  <c r="DP29" i="1"/>
  <c r="CV35" i="1"/>
  <c r="BW35" i="1"/>
  <c r="BZ61" i="1"/>
  <c r="CY61" i="1"/>
  <c r="BW67" i="1"/>
  <c r="CV67" i="1"/>
  <c r="DE4" i="1"/>
  <c r="CF4" i="1"/>
  <c r="CO27" i="1"/>
  <c r="DN27" i="1"/>
  <c r="DG31" i="1"/>
  <c r="CH31" i="1"/>
  <c r="DM52" i="1"/>
  <c r="CN52" i="1"/>
  <c r="CH59" i="1"/>
  <c r="DG59" i="1"/>
  <c r="CW37" i="1"/>
  <c r="BX37" i="1"/>
  <c r="BW41" i="1"/>
  <c r="CV41" i="1"/>
  <c r="CZ23" i="1"/>
  <c r="CA23" i="1"/>
  <c r="CE23" i="1"/>
  <c r="DD23" i="1"/>
  <c r="DC5" i="1"/>
  <c r="CD5" i="1"/>
  <c r="CU30" i="1"/>
  <c r="BV30" i="1"/>
  <c r="DE46" i="1"/>
  <c r="CF46" i="1"/>
  <c r="CU5" i="1"/>
  <c r="BV5" i="1"/>
  <c r="CG32" i="1"/>
  <c r="DF32" i="1"/>
  <c r="CC62" i="1"/>
  <c r="DB62" i="1"/>
  <c r="DA18" i="1"/>
  <c r="CB18" i="1"/>
  <c r="DN50" i="1"/>
  <c r="CO50" i="1"/>
  <c r="CE6" i="1"/>
  <c r="DD6" i="1"/>
  <c r="DI61" i="1"/>
  <c r="CJ61" i="1"/>
  <c r="CT67" i="1"/>
  <c r="BU67" i="1"/>
  <c r="BS67" i="1"/>
  <c r="BR67" i="1"/>
  <c r="BT67" i="1"/>
  <c r="BP67" i="1"/>
  <c r="CS67" i="1"/>
  <c r="BQ67" i="1"/>
  <c r="CY4" i="1"/>
  <c r="BZ4" i="1"/>
  <c r="CB19" i="1"/>
  <c r="DA19" i="1"/>
  <c r="DM27" i="1"/>
  <c r="CN27" i="1"/>
  <c r="BP31" i="1"/>
  <c r="CS31" i="1"/>
  <c r="BR31" i="1"/>
  <c r="BS31" i="1"/>
  <c r="BT31" i="1"/>
  <c r="BQ31" i="1"/>
  <c r="CT31" i="1"/>
  <c r="BU31" i="1"/>
  <c r="DO52" i="1"/>
  <c r="CP52" i="1"/>
  <c r="CM51" i="1"/>
  <c r="DL51" i="1"/>
  <c r="DL39" i="1"/>
  <c r="CM39" i="1"/>
  <c r="CC26" i="1"/>
  <c r="DB26" i="1"/>
  <c r="CU26" i="1"/>
  <c r="BV26" i="1"/>
  <c r="BY49" i="1"/>
  <c r="CX49" i="1"/>
  <c r="DI10" i="1"/>
  <c r="CJ10" i="1"/>
  <c r="CU23" i="1"/>
  <c r="BV23" i="1"/>
  <c r="CP5" i="1"/>
  <c r="DO5" i="1"/>
  <c r="CR30" i="1"/>
  <c r="DQ30" i="1"/>
  <c r="CP43" i="1"/>
  <c r="DO43" i="1"/>
  <c r="CT5" i="1"/>
  <c r="BU5" i="1"/>
  <c r="BP5" i="1"/>
  <c r="CS5" i="1"/>
  <c r="BS5" i="1"/>
  <c r="BR5" i="1"/>
  <c r="BT5" i="1"/>
  <c r="BQ5" i="1"/>
  <c r="DL32" i="1"/>
  <c r="CM32" i="1"/>
  <c r="DH62" i="1"/>
  <c r="CI62" i="1"/>
  <c r="CJ9" i="1"/>
  <c r="DI9" i="1"/>
  <c r="CU53" i="1"/>
  <c r="BV53" i="1"/>
  <c r="BR53" i="1"/>
  <c r="BT53" i="1"/>
  <c r="DG29" i="1"/>
  <c r="CH29" i="1"/>
  <c r="CC57" i="1"/>
  <c r="DB57" i="1"/>
  <c r="DE6" i="1"/>
  <c r="CF6" i="1"/>
  <c r="DD35" i="1"/>
  <c r="CE35" i="1"/>
  <c r="CF64" i="1"/>
  <c r="DE64" i="1"/>
  <c r="DG51" i="1"/>
  <c r="CH51" i="1"/>
  <c r="DH5" i="1"/>
  <c r="CI5" i="1"/>
  <c r="DB16" i="1"/>
  <c r="CC16" i="1"/>
  <c r="DO25" i="1"/>
  <c r="CP25" i="1"/>
  <c r="CO32" i="1"/>
  <c r="DN32" i="1"/>
  <c r="CC43" i="1"/>
  <c r="DB43" i="1"/>
  <c r="CD43" i="1"/>
  <c r="DC43" i="1"/>
  <c r="DN60" i="1"/>
  <c r="CO60" i="1"/>
  <c r="DM62" i="1"/>
  <c r="CN62" i="1"/>
  <c r="BZ62" i="1"/>
  <c r="CY62" i="1"/>
  <c r="BZ65" i="1"/>
  <c r="CY65" i="1"/>
  <c r="DC65" i="1"/>
  <c r="CD65" i="1"/>
  <c r="CV7" i="1"/>
  <c r="BW7" i="1"/>
  <c r="CR7" i="1"/>
  <c r="DQ7" i="1"/>
  <c r="DL18" i="1"/>
  <c r="CM18" i="1"/>
  <c r="DM18" i="1"/>
  <c r="CN18" i="1"/>
  <c r="CW48" i="1"/>
  <c r="BX48" i="1"/>
  <c r="DL53" i="1"/>
  <c r="CM53" i="1"/>
  <c r="CY53" i="1"/>
  <c r="BZ53" i="1"/>
  <c r="DF53" i="1"/>
  <c r="CG53" i="1"/>
  <c r="BQ55" i="1"/>
  <c r="CU55" i="1"/>
  <c r="BV55" i="1"/>
  <c r="BP55" i="1"/>
  <c r="CS55" i="1"/>
  <c r="BS55" i="1"/>
  <c r="BR55" i="1"/>
  <c r="DI21" i="1"/>
  <c r="CJ21" i="1"/>
  <c r="DH29" i="1"/>
  <c r="CI29" i="1"/>
  <c r="CM29" i="1"/>
  <c r="DL29" i="1"/>
  <c r="DI50" i="1"/>
  <c r="CJ50" i="1"/>
  <c r="CO57" i="1"/>
  <c r="DN57" i="1"/>
  <c r="CZ6" i="1"/>
  <c r="CA6" i="1"/>
  <c r="CO24" i="1"/>
  <c r="DN24" i="1"/>
  <c r="CE24" i="1"/>
  <c r="DD24" i="1"/>
  <c r="DC35" i="1"/>
  <c r="CD35" i="1"/>
  <c r="DK35" i="1"/>
  <c r="CL35" i="1"/>
  <c r="DA44" i="1"/>
  <c r="CB44" i="1"/>
  <c r="CX44" i="1"/>
  <c r="BY44" i="1"/>
  <c r="DE59" i="1"/>
  <c r="CF59" i="1"/>
  <c r="DC61" i="1"/>
  <c r="CD61" i="1"/>
  <c r="CQ64" i="1"/>
  <c r="DP64" i="1"/>
  <c r="CB67" i="1"/>
  <c r="DA67" i="1"/>
  <c r="CY67" i="1"/>
  <c r="BZ67" i="1"/>
  <c r="DO4" i="1"/>
  <c r="CP4" i="1"/>
  <c r="DB19" i="1"/>
  <c r="CC19" i="1"/>
  <c r="CU19" i="1"/>
  <c r="BV19" i="1"/>
  <c r="DH19" i="1"/>
  <c r="CI19" i="1"/>
  <c r="CR27" i="1"/>
  <c r="DQ27" i="1"/>
  <c r="DC27" i="1"/>
  <c r="CD27" i="1"/>
  <c r="DF27" i="1"/>
  <c r="CG27" i="1"/>
  <c r="CI31" i="1"/>
  <c r="DH31" i="1"/>
  <c r="BY52" i="1"/>
  <c r="CX52" i="1"/>
  <c r="DA52" i="1"/>
  <c r="CB52" i="1"/>
  <c r="CJ52" i="1"/>
  <c r="DI52" i="1"/>
  <c r="CF63" i="1"/>
  <c r="DE63" i="1"/>
  <c r="CT51" i="1"/>
  <c r="BU51" i="1"/>
  <c r="BR51" i="1"/>
  <c r="BQ51" i="1"/>
  <c r="BS51" i="1"/>
  <c r="BP51" i="1"/>
  <c r="CS51" i="1"/>
  <c r="CX51" i="1"/>
  <c r="BY51" i="1"/>
  <c r="DJ51" i="1"/>
  <c r="CK51" i="1"/>
  <c r="CA59" i="1"/>
  <c r="CZ59" i="1"/>
  <c r="CO59" i="1"/>
  <c r="DN59" i="1"/>
  <c r="BV37" i="1"/>
  <c r="CU37" i="1"/>
  <c r="CR37" i="1"/>
  <c r="DQ37" i="1"/>
  <c r="DF37" i="1"/>
  <c r="CG37" i="1"/>
  <c r="CX39" i="1"/>
  <c r="BY39" i="1"/>
  <c r="BX39" i="1"/>
  <c r="CW39" i="1"/>
  <c r="DC39" i="1"/>
  <c r="CD39" i="1"/>
  <c r="CG41" i="1"/>
  <c r="DF41" i="1"/>
  <c r="BY41" i="1"/>
  <c r="CX41" i="1"/>
  <c r="CH26" i="1"/>
  <c r="DG26" i="1"/>
  <c r="DE26" i="1"/>
  <c r="CF26" i="1"/>
  <c r="DA26" i="1"/>
  <c r="CB26" i="1"/>
  <c r="CZ49" i="1"/>
  <c r="CA49" i="1"/>
  <c r="DO49" i="1"/>
  <c r="CP49" i="1"/>
  <c r="DB10" i="1"/>
  <c r="CC10" i="1"/>
  <c r="CH10" i="1"/>
  <c r="DG10" i="1"/>
  <c r="DN10" i="1"/>
  <c r="CO10" i="1"/>
  <c r="CN12" i="1"/>
  <c r="DM12" i="1"/>
  <c r="CG12" i="1"/>
  <c r="DF12" i="1"/>
  <c r="DE12" i="1"/>
  <c r="CF12" i="1"/>
  <c r="DM23" i="1"/>
  <c r="CN23" i="1"/>
  <c r="CV23" i="1"/>
  <c r="BW23" i="1"/>
  <c r="CY23" i="1"/>
  <c r="BZ23" i="1"/>
  <c r="CX5" i="1"/>
  <c r="BY5" i="1"/>
  <c r="BZ5" i="1"/>
  <c r="CY5" i="1"/>
  <c r="CM30" i="1"/>
  <c r="DL30" i="1"/>
  <c r="CC30" i="1"/>
  <c r="DB30" i="1"/>
  <c r="CZ30" i="1"/>
  <c r="CA30" i="1"/>
  <c r="BV34" i="1"/>
  <c r="CU34" i="1"/>
  <c r="DM34" i="1"/>
  <c r="CN34" i="1"/>
  <c r="DA34" i="1"/>
  <c r="CB34" i="1"/>
  <c r="DG43" i="1"/>
  <c r="CH43" i="1"/>
  <c r="CT46" i="1"/>
  <c r="BU46" i="1"/>
  <c r="BR46" i="1"/>
  <c r="BQ46" i="1"/>
  <c r="BS46" i="1"/>
  <c r="BT46" i="1"/>
  <c r="BP46" i="1"/>
  <c r="CS46" i="1"/>
  <c r="CL46" i="1"/>
  <c r="DK46" i="1"/>
  <c r="DI46" i="1"/>
  <c r="CJ46" i="1"/>
  <c r="BR23" i="1"/>
  <c r="BP53" i="1"/>
  <c r="CS53" i="1"/>
  <c r="BQ21" i="1"/>
  <c r="BP35" i="1"/>
  <c r="CS35" i="1"/>
  <c r="BS23" i="1"/>
  <c r="CI25" i="1"/>
  <c r="DH25" i="1"/>
  <c r="DL60" i="1"/>
  <c r="CM60" i="1"/>
  <c r="DF9" i="1"/>
  <c r="CG9" i="1"/>
  <c r="CK53" i="1"/>
  <c r="DJ53" i="1"/>
  <c r="DA50" i="1"/>
  <c r="CB50" i="1"/>
  <c r="BP24" i="1"/>
  <c r="CS24" i="1"/>
  <c r="CT24" i="1"/>
  <c r="BQ24" i="1"/>
  <c r="BU24" i="1"/>
  <c r="BR24" i="1"/>
  <c r="BS24" i="1"/>
  <c r="DB35" i="1"/>
  <c r="CC35" i="1"/>
  <c r="DI59" i="1"/>
  <c r="CJ59" i="1"/>
  <c r="CT64" i="1"/>
  <c r="BU64" i="1"/>
  <c r="BQ64" i="1"/>
  <c r="BR64" i="1"/>
  <c r="BP64" i="1"/>
  <c r="CS64" i="1"/>
  <c r="BS64" i="1"/>
  <c r="BT64" i="1"/>
  <c r="CF67" i="1"/>
  <c r="DE67" i="1"/>
  <c r="DI4" i="1"/>
  <c r="CJ4" i="1"/>
  <c r="CU27" i="1"/>
  <c r="BV27" i="1"/>
  <c r="BS27" i="1"/>
  <c r="BT27" i="1"/>
  <c r="CA52" i="1"/>
  <c r="CZ52" i="1"/>
  <c r="CJ51" i="1"/>
  <c r="DI51" i="1"/>
  <c r="DO59" i="1"/>
  <c r="CP59" i="1"/>
  <c r="DG39" i="1"/>
  <c r="CH39" i="1"/>
  <c r="CO49" i="1"/>
  <c r="DN49" i="1"/>
  <c r="CY10" i="1"/>
  <c r="BZ10" i="1"/>
  <c r="DB12" i="1"/>
  <c r="CC12" i="1"/>
  <c r="DA30" i="1"/>
  <c r="CB30" i="1"/>
  <c r="CW46" i="1"/>
  <c r="BX46" i="1"/>
  <c r="DJ43" i="1"/>
  <c r="CK43" i="1"/>
  <c r="CZ60" i="1"/>
  <c r="CA60" i="1"/>
  <c r="CI9" i="1"/>
  <c r="DH9" i="1"/>
  <c r="CJ53" i="1"/>
  <c r="DI53" i="1"/>
  <c r="DF21" i="1"/>
  <c r="CG21" i="1"/>
  <c r="DK57" i="1"/>
  <c r="CL57" i="1"/>
  <c r="CD6" i="1"/>
  <c r="DC6" i="1"/>
  <c r="BX59" i="1"/>
  <c r="CW59" i="1"/>
  <c r="DE19" i="1"/>
  <c r="CF19" i="1"/>
  <c r="CU52" i="1"/>
  <c r="BV52" i="1"/>
  <c r="DA51" i="1"/>
  <c r="CB51" i="1"/>
  <c r="DP39" i="1"/>
  <c r="CQ39" i="1"/>
  <c r="DO41" i="1"/>
  <c r="CP41" i="1"/>
  <c r="CN26" i="1"/>
  <c r="DM26" i="1"/>
  <c r="CJ49" i="1"/>
  <c r="DI49" i="1"/>
  <c r="DO10" i="1"/>
  <c r="CP10" i="1"/>
  <c r="CH30" i="1"/>
  <c r="DG30" i="1"/>
  <c r="BR34" i="1"/>
  <c r="CT34" i="1"/>
  <c r="BU34" i="1"/>
  <c r="BS34" i="1"/>
  <c r="BP34" i="1"/>
  <c r="CS34" i="1"/>
  <c r="BQ34" i="1"/>
  <c r="CK46" i="1"/>
  <c r="DJ46" i="1"/>
  <c r="DM25" i="1"/>
  <c r="CN25" i="1"/>
  <c r="DD48" i="1"/>
  <c r="CE48" i="1"/>
  <c r="CD53" i="1"/>
  <c r="DC53" i="1"/>
  <c r="CW21" i="1"/>
  <c r="BX21" i="1"/>
  <c r="DH50" i="1"/>
  <c r="CI50" i="1"/>
  <c r="CJ57" i="1"/>
  <c r="DI57" i="1"/>
  <c r="CR24" i="1"/>
  <c r="DQ24" i="1"/>
  <c r="CI44" i="1"/>
  <c r="DH44" i="1"/>
  <c r="BV64" i="1"/>
  <c r="CU64" i="1"/>
  <c r="CH4" i="1"/>
  <c r="DG4" i="1"/>
  <c r="BZ31" i="1"/>
  <c r="CY31" i="1"/>
  <c r="DE52" i="1"/>
  <c r="CF52" i="1"/>
  <c r="CQ63" i="1"/>
  <c r="DP63" i="1"/>
  <c r="CN51" i="1"/>
  <c r="DM51" i="1"/>
  <c r="CF37" i="1"/>
  <c r="DE37" i="1"/>
  <c r="CK59" i="1"/>
  <c r="DJ59" i="1"/>
  <c r="DN37" i="1"/>
  <c r="CO37" i="1"/>
  <c r="BP41" i="1"/>
  <c r="CS41" i="1"/>
  <c r="BU41" i="1"/>
  <c r="BS41" i="1"/>
  <c r="BQ41" i="1"/>
  <c r="CT41" i="1"/>
  <c r="BR41" i="1"/>
  <c r="DL41" i="1"/>
  <c r="CM41" i="1"/>
  <c r="BU10" i="1"/>
  <c r="BR10" i="1"/>
  <c r="CT10" i="1"/>
  <c r="BQ10" i="1"/>
  <c r="BP10" i="1"/>
  <c r="CS10" i="1"/>
  <c r="BS10" i="1"/>
  <c r="BT10" i="1"/>
  <c r="DH12" i="1"/>
  <c r="CI12" i="1"/>
  <c r="DG34" i="1"/>
  <c r="CH34" i="1"/>
  <c r="CU16" i="1"/>
  <c r="BV16" i="1"/>
  <c r="BP16" i="1"/>
  <c r="CS16" i="1"/>
  <c r="BQ16" i="1"/>
  <c r="BS16" i="1"/>
  <c r="BR16" i="1"/>
  <c r="BT16" i="1"/>
  <c r="DN43" i="1"/>
  <c r="CO43" i="1"/>
  <c r="DO60" i="1"/>
  <c r="CP60" i="1"/>
  <c r="BU65" i="1"/>
  <c r="CT65" i="1"/>
  <c r="BP65" i="1"/>
  <c r="CS65" i="1"/>
  <c r="BS65" i="1"/>
  <c r="BR65" i="1"/>
  <c r="BT65" i="1"/>
  <c r="BQ65" i="1"/>
  <c r="BS7" i="1"/>
  <c r="BT7" i="1"/>
  <c r="BP7" i="1"/>
  <c r="CS7" i="1"/>
  <c r="BQ7" i="1"/>
  <c r="CU7" i="1"/>
  <c r="BV7" i="1"/>
  <c r="CA48" i="1"/>
  <c r="CZ48" i="1"/>
  <c r="DN55" i="1"/>
  <c r="CO55" i="1"/>
  <c r="DL21" i="1"/>
  <c r="CM21" i="1"/>
  <c r="BS44" i="1"/>
  <c r="BR44" i="1"/>
  <c r="BT44" i="1"/>
  <c r="BQ44" i="1"/>
  <c r="CT44" i="1"/>
  <c r="BU44" i="1"/>
  <c r="BP44" i="1"/>
  <c r="CS44" i="1"/>
  <c r="DE5" i="1"/>
  <c r="CF5" i="1"/>
  <c r="CD16" i="1"/>
  <c r="DC16" i="1"/>
  <c r="CR25" i="1"/>
  <c r="DQ25" i="1"/>
  <c r="CU32" i="1"/>
  <c r="BP32" i="1"/>
  <c r="CS32" i="1"/>
  <c r="BR32" i="1"/>
  <c r="BV32" i="1"/>
  <c r="BQ32" i="1"/>
  <c r="BS32" i="1"/>
  <c r="BT32" i="1"/>
  <c r="CW32" i="1"/>
  <c r="BX32" i="1"/>
  <c r="DI43" i="1"/>
  <c r="CJ43" i="1"/>
  <c r="CJ60" i="1"/>
  <c r="DI60" i="1"/>
  <c r="CZ62" i="1"/>
  <c r="CA62" i="1"/>
  <c r="CM62" i="1"/>
  <c r="DL62" i="1"/>
  <c r="DK65" i="1"/>
  <c r="CL65" i="1"/>
  <c r="CZ65" i="1"/>
  <c r="CA65" i="1"/>
  <c r="DJ7" i="1"/>
  <c r="CK7" i="1"/>
  <c r="CJ7" i="1"/>
  <c r="DI7" i="1"/>
  <c r="DK9" i="1"/>
  <c r="CL9" i="1"/>
  <c r="CY18" i="1"/>
  <c r="BZ18" i="1"/>
  <c r="BW18" i="1"/>
  <c r="CV18" i="1"/>
  <c r="DQ48" i="1"/>
  <c r="CR48" i="1"/>
  <c r="CB53" i="1"/>
  <c r="DA53" i="1"/>
  <c r="BY53" i="1"/>
  <c r="CX53" i="1"/>
  <c r="CH53" i="1"/>
  <c r="DG53" i="1"/>
  <c r="DF55" i="1"/>
  <c r="CG55" i="1"/>
  <c r="DG21" i="1"/>
  <c r="CH21" i="1"/>
  <c r="DD29" i="1"/>
  <c r="CE29" i="1"/>
  <c r="DI29" i="1"/>
  <c r="CJ29" i="1"/>
  <c r="CQ50" i="1"/>
  <c r="DP50" i="1"/>
  <c r="DQ57" i="1"/>
  <c r="CR57" i="1"/>
  <c r="CP53" i="1"/>
  <c r="DO53" i="1"/>
  <c r="DO6" i="1"/>
  <c r="CP6" i="1"/>
  <c r="DM6" i="1"/>
  <c r="CN6" i="1"/>
  <c r="DC24" i="1"/>
  <c r="CD24" i="1"/>
  <c r="DI35" i="1"/>
  <c r="CJ35" i="1"/>
  <c r="BY35" i="1"/>
  <c r="CX35" i="1"/>
  <c r="CA44" i="1"/>
  <c r="CZ44" i="1"/>
  <c r="DK44" i="1"/>
  <c r="CL44" i="1"/>
  <c r="BZ59" i="1"/>
  <c r="CY59" i="1"/>
  <c r="CP61" i="1"/>
  <c r="DO61" i="1"/>
  <c r="DH64" i="1"/>
  <c r="CI64" i="1"/>
  <c r="CJ64" i="1"/>
  <c r="DI64" i="1"/>
  <c r="CO61" i="1"/>
  <c r="DN61" i="1"/>
  <c r="CG67" i="1"/>
  <c r="DF67" i="1"/>
  <c r="CN4" i="1"/>
  <c r="DM4" i="1"/>
  <c r="DD4" i="1"/>
  <c r="CE4" i="1"/>
  <c r="CD19" i="1"/>
  <c r="DC19" i="1"/>
  <c r="BU19" i="1"/>
  <c r="BQ19" i="1"/>
  <c r="BS19" i="1"/>
  <c r="BP19" i="1"/>
  <c r="CS19" i="1"/>
  <c r="BR19" i="1"/>
  <c r="CT19" i="1"/>
  <c r="DD19" i="1"/>
  <c r="CE19" i="1"/>
  <c r="BX27" i="1"/>
  <c r="CW27" i="1"/>
  <c r="DI27" i="1"/>
  <c r="CJ27" i="1"/>
  <c r="CM27" i="1"/>
  <c r="DL27" i="1"/>
  <c r="DI31" i="1"/>
  <c r="CJ31" i="1"/>
  <c r="DO31" i="1"/>
  <c r="CP31" i="1"/>
  <c r="CN31" i="1"/>
  <c r="DM31" i="1"/>
  <c r="DK52" i="1"/>
  <c r="CL52" i="1"/>
  <c r="DH52" i="1"/>
  <c r="CI52" i="1"/>
  <c r="CA31" i="1"/>
  <c r="CZ31" i="1"/>
  <c r="DQ63" i="1"/>
  <c r="CR63" i="1"/>
  <c r="DF63" i="1"/>
  <c r="CG63" i="1"/>
  <c r="CF51" i="1"/>
  <c r="DE51" i="1"/>
  <c r="CE51" i="1"/>
  <c r="DD51" i="1"/>
  <c r="CN59" i="1"/>
  <c r="DM59" i="1"/>
  <c r="CE59" i="1"/>
  <c r="DD59" i="1"/>
  <c r="DI37" i="1"/>
  <c r="CJ37" i="1"/>
  <c r="CC37" i="1"/>
  <c r="DB37" i="1"/>
  <c r="CK37" i="1"/>
  <c r="DJ37" i="1"/>
  <c r="DO39" i="1"/>
  <c r="CP39" i="1"/>
  <c r="CO39" i="1"/>
  <c r="DN39" i="1"/>
  <c r="DQ39" i="1"/>
  <c r="CR39" i="1"/>
  <c r="DH41" i="1"/>
  <c r="CI41" i="1"/>
  <c r="CZ41" i="1"/>
  <c r="CA41" i="1"/>
  <c r="CZ26" i="1"/>
  <c r="CA26" i="1"/>
  <c r="DO26" i="1"/>
  <c r="CP26" i="1"/>
  <c r="DA49" i="1"/>
  <c r="CB49" i="1"/>
  <c r="DK49" i="1"/>
  <c r="CL49" i="1"/>
  <c r="DM49" i="1"/>
  <c r="CN49" i="1"/>
  <c r="CF10" i="1"/>
  <c r="DE10" i="1"/>
  <c r="CM10" i="1"/>
  <c r="DL10" i="1"/>
  <c r="DC10" i="1"/>
  <c r="CD10" i="1"/>
  <c r="BW12" i="1"/>
  <c r="CV12" i="1"/>
  <c r="DL12" i="1"/>
  <c r="CM12" i="1"/>
  <c r="CW12" i="1"/>
  <c r="BX12" i="1"/>
  <c r="CQ23" i="1"/>
  <c r="DP23" i="1"/>
  <c r="DJ23" i="1"/>
  <c r="CK23" i="1"/>
  <c r="CM23" i="1"/>
  <c r="DL23" i="1"/>
  <c r="CN5" i="1"/>
  <c r="DM5" i="1"/>
  <c r="CV5" i="1"/>
  <c r="BW5" i="1"/>
  <c r="DH30" i="1"/>
  <c r="CI30" i="1"/>
  <c r="CN30" i="1"/>
  <c r="DM30" i="1"/>
  <c r="CX30" i="1"/>
  <c r="BY30" i="1"/>
  <c r="CD30" i="1"/>
  <c r="DC30" i="1"/>
  <c r="BX34" i="1"/>
  <c r="CW34" i="1"/>
  <c r="CD34" i="1"/>
  <c r="DC34" i="1"/>
  <c r="DO34" i="1"/>
  <c r="CP34" i="1"/>
  <c r="DB46" i="1"/>
  <c r="CC46" i="1"/>
  <c r="CZ46" i="1"/>
  <c r="CA46" i="1"/>
  <c r="DA46" i="1"/>
  <c r="CB46" i="1"/>
  <c r="BP37" i="1"/>
  <c r="CS37" i="1"/>
  <c r="BS48" i="1"/>
  <c r="BR61" i="1"/>
  <c r="BP27" i="1"/>
  <c r="CS27" i="1"/>
  <c r="BR35" i="1"/>
  <c r="BT54" i="1"/>
  <c r="BQ23" i="1"/>
  <c r="BS52" i="1"/>
  <c r="BT52" i="1"/>
  <c r="BQ53" i="1"/>
  <c r="F155" i="3"/>
  <c r="C12" i="9"/>
  <c r="B155" i="3"/>
  <c r="L131" i="3"/>
  <c r="L11" i="9"/>
  <c r="I155" i="3"/>
  <c r="E155" i="3"/>
  <c r="BT56" i="1"/>
  <c r="B11" i="9"/>
  <c r="J12" i="9"/>
  <c r="D131" i="3"/>
  <c r="D11" i="9"/>
  <c r="D155" i="3"/>
  <c r="H12" i="9"/>
  <c r="I12" i="9"/>
  <c r="N131" i="3"/>
  <c r="N11" i="9"/>
  <c r="N155" i="3"/>
  <c r="M155" i="3"/>
  <c r="G12" i="9"/>
  <c r="E12" i="9"/>
  <c r="K155" i="3"/>
  <c r="M12" i="9"/>
  <c r="F12" i="9"/>
  <c r="H155" i="3"/>
  <c r="K12" i="9"/>
  <c r="D12" i="9"/>
  <c r="C155" i="3"/>
  <c r="C131" i="3"/>
  <c r="C11" i="9"/>
  <c r="G155" i="3"/>
  <c r="BU68" i="1"/>
  <c r="B12" i="9"/>
  <c r="N12" i="9"/>
  <c r="CV28" i="1"/>
  <c r="AU28" i="1"/>
  <c r="BW28" i="1"/>
  <c r="AT58" i="1"/>
  <c r="CU58" i="1"/>
  <c r="BV58" i="1"/>
  <c r="BT19" i="1"/>
  <c r="BT48" i="1"/>
  <c r="BT24" i="1"/>
  <c r="BT23" i="1"/>
  <c r="BT51" i="1"/>
  <c r="BT55" i="1"/>
  <c r="BT26" i="1"/>
  <c r="BT9" i="1"/>
  <c r="BT34" i="1"/>
  <c r="BT43" i="1"/>
  <c r="BT41" i="1"/>
  <c r="BT63" i="1"/>
  <c r="BT57" i="1"/>
  <c r="BT25" i="1"/>
  <c r="BT35" i="1"/>
  <c r="BT61" i="1"/>
  <c r="AT14" i="1"/>
  <c r="CU14" i="1"/>
  <c r="BV14" i="1"/>
  <c r="BV68" i="1"/>
  <c r="CX8" i="1"/>
  <c r="AW8" i="1"/>
  <c r="BY8" i="1"/>
  <c r="BT12" i="1"/>
  <c r="BZ8" i="1"/>
  <c r="CY8" i="1"/>
  <c r="AX8" i="1"/>
  <c r="CW28" i="1"/>
  <c r="BX28" i="1"/>
  <c r="AV28" i="1"/>
  <c r="CV14" i="1"/>
  <c r="BW14" i="1"/>
  <c r="BW68" i="1"/>
  <c r="AU14" i="1"/>
  <c r="BW58" i="1"/>
  <c r="CV58" i="1"/>
  <c r="AU58" i="1"/>
  <c r="CX28" i="1"/>
  <c r="BY28" i="1"/>
  <c r="AW28" i="1"/>
  <c r="AV58" i="1"/>
  <c r="CW58" i="1"/>
  <c r="BX58" i="1"/>
  <c r="CW14" i="1"/>
  <c r="BX14" i="1"/>
  <c r="BX68" i="1"/>
  <c r="AV14" i="1"/>
  <c r="CZ8" i="1"/>
  <c r="AY8" i="1"/>
  <c r="CA8" i="1"/>
  <c r="BY58" i="1"/>
  <c r="AW58" i="1"/>
  <c r="CX58" i="1"/>
  <c r="CB8" i="1"/>
  <c r="AZ8" i="1"/>
  <c r="DA8" i="1"/>
  <c r="BZ28" i="1"/>
  <c r="CY28" i="1"/>
  <c r="AX28" i="1"/>
  <c r="CX14" i="1"/>
  <c r="AW14" i="1"/>
  <c r="BY14" i="1"/>
  <c r="BY68" i="1"/>
  <c r="DB8" i="1"/>
  <c r="CC8" i="1"/>
  <c r="BA8" i="1"/>
  <c r="CY14" i="1"/>
  <c r="BZ14" i="1"/>
  <c r="BZ68" i="1"/>
  <c r="AX14" i="1"/>
  <c r="AX58" i="1"/>
  <c r="CY58" i="1"/>
  <c r="BZ58" i="1"/>
  <c r="CZ28" i="1"/>
  <c r="AY28" i="1"/>
  <c r="CA28" i="1"/>
  <c r="AY14" i="1"/>
  <c r="CA14" i="1"/>
  <c r="CZ14" i="1"/>
  <c r="AY58" i="1"/>
  <c r="CA58" i="1"/>
  <c r="CZ58" i="1"/>
  <c r="DC8" i="1"/>
  <c r="CD8" i="1"/>
  <c r="BB8" i="1"/>
  <c r="DA28" i="1"/>
  <c r="CB28" i="1"/>
  <c r="AZ28" i="1"/>
  <c r="CE8" i="1"/>
  <c r="DD8" i="1"/>
  <c r="BC8" i="1"/>
  <c r="CA68" i="1"/>
  <c r="AZ58" i="1"/>
  <c r="CB58" i="1"/>
  <c r="DA58" i="1"/>
  <c r="DA14" i="1"/>
  <c r="CB14" i="1"/>
  <c r="CB68" i="1"/>
  <c r="AZ14" i="1"/>
  <c r="CC28" i="1"/>
  <c r="DB28" i="1"/>
  <c r="BA28" i="1"/>
  <c r="CC14" i="1"/>
  <c r="CC68" i="1"/>
  <c r="DB14" i="1"/>
  <c r="BA14" i="1"/>
  <c r="DB58" i="1"/>
  <c r="BA58" i="1"/>
  <c r="CC58" i="1"/>
  <c r="CF8" i="1"/>
  <c r="BD8" i="1"/>
  <c r="DE8" i="1"/>
  <c r="CD28" i="1"/>
  <c r="DC28" i="1"/>
  <c r="BB28" i="1"/>
  <c r="BB14" i="1"/>
  <c r="DC14" i="1"/>
  <c r="CD14" i="1"/>
  <c r="CD68" i="1"/>
  <c r="BC28" i="1"/>
  <c r="DD28" i="1"/>
  <c r="CE28" i="1"/>
  <c r="DC58" i="1"/>
  <c r="CD58" i="1"/>
  <c r="BB58" i="1"/>
  <c r="BE8" i="1"/>
  <c r="DF8" i="1"/>
  <c r="CG8" i="1"/>
  <c r="CE14" i="1"/>
  <c r="CE68" i="1"/>
  <c r="DD14" i="1"/>
  <c r="BC14" i="1"/>
  <c r="BF8" i="1"/>
  <c r="CH8" i="1"/>
  <c r="DG8" i="1"/>
  <c r="CE58" i="1"/>
  <c r="BC58" i="1"/>
  <c r="DD58" i="1"/>
  <c r="BD28" i="1"/>
  <c r="DE28" i="1"/>
  <c r="CF28" i="1"/>
  <c r="BG8" i="1"/>
  <c r="DH8" i="1"/>
  <c r="CI8" i="1"/>
  <c r="DE14" i="1"/>
  <c r="CF14" i="1"/>
  <c r="CF68" i="1"/>
  <c r="BD14" i="1"/>
  <c r="BE28" i="1"/>
  <c r="DF28" i="1"/>
  <c r="CG28" i="1"/>
  <c r="CF58" i="1"/>
  <c r="BD58" i="1"/>
  <c r="DE58" i="1"/>
  <c r="CJ8" i="1"/>
  <c r="BH8" i="1"/>
  <c r="DI8" i="1"/>
  <c r="DG28" i="1"/>
  <c r="BF28" i="1"/>
  <c r="CH28" i="1"/>
  <c r="CG58" i="1"/>
  <c r="DF58" i="1"/>
  <c r="BE58" i="1"/>
  <c r="DF14" i="1"/>
  <c r="CG14" i="1"/>
  <c r="CG68" i="1"/>
  <c r="BE14" i="1"/>
  <c r="DJ8" i="1"/>
  <c r="BI8" i="1"/>
  <c r="CK8" i="1"/>
  <c r="CH14" i="1"/>
  <c r="CH68" i="1"/>
  <c r="DG14" i="1"/>
  <c r="BF14" i="1"/>
  <c r="CH58" i="1"/>
  <c r="BF58" i="1"/>
  <c r="DG58" i="1"/>
  <c r="DH28" i="1"/>
  <c r="BG28" i="1"/>
  <c r="CI28" i="1"/>
  <c r="DH58" i="1"/>
  <c r="CI58" i="1"/>
  <c r="BG58" i="1"/>
  <c r="DK8" i="1"/>
  <c r="CL8" i="1"/>
  <c r="BJ8" i="1"/>
  <c r="BH28" i="1"/>
  <c r="DI28" i="1"/>
  <c r="CJ28" i="1"/>
  <c r="DH14" i="1"/>
  <c r="BG14" i="1"/>
  <c r="CI14" i="1"/>
  <c r="CI68" i="1"/>
  <c r="DI14" i="1"/>
  <c r="CJ14" i="1"/>
  <c r="CJ68" i="1"/>
  <c r="BH14" i="1"/>
  <c r="CJ58" i="1"/>
  <c r="DI58" i="1"/>
  <c r="BH58" i="1"/>
  <c r="DL8" i="1"/>
  <c r="CM8" i="1"/>
  <c r="BK8" i="1"/>
  <c r="CK28" i="1"/>
  <c r="DJ28" i="1"/>
  <c r="BI28" i="1"/>
  <c r="DM8" i="1"/>
  <c r="BL8" i="1"/>
  <c r="CN8" i="1"/>
  <c r="DJ58" i="1"/>
  <c r="CK58" i="1"/>
  <c r="BI58" i="1"/>
  <c r="BI14" i="1"/>
  <c r="DJ14" i="1"/>
  <c r="CK14" i="1"/>
  <c r="CK68" i="1"/>
  <c r="BJ28" i="1"/>
  <c r="DK28" i="1"/>
  <c r="CL28" i="1"/>
  <c r="CM28" i="1"/>
  <c r="BK28" i="1"/>
  <c r="DL28" i="1"/>
  <c r="DK14" i="1"/>
  <c r="CL14" i="1"/>
  <c r="CL68" i="1"/>
  <c r="BJ14" i="1"/>
  <c r="BM8" i="1"/>
  <c r="DN8" i="1"/>
  <c r="CO8" i="1"/>
  <c r="BJ58" i="1"/>
  <c r="DK58" i="1"/>
  <c r="CL58" i="1"/>
  <c r="BK58" i="1"/>
  <c r="CM58" i="1"/>
  <c r="DL58" i="1"/>
  <c r="DM28" i="1"/>
  <c r="CN28" i="1"/>
  <c r="BL28" i="1"/>
  <c r="DL14" i="1"/>
  <c r="BK14" i="1"/>
  <c r="CM14" i="1"/>
  <c r="CM68" i="1"/>
  <c r="DO8" i="1"/>
  <c r="BN8" i="1"/>
  <c r="CP8" i="1"/>
  <c r="DM14" i="1"/>
  <c r="CN14" i="1"/>
  <c r="CN68" i="1"/>
  <c r="BL14" i="1"/>
  <c r="DP8" i="1"/>
  <c r="CQ8" i="1"/>
  <c r="BO8" i="1"/>
  <c r="BM28" i="1"/>
  <c r="DN28" i="1"/>
  <c r="CO28" i="1"/>
  <c r="DM58" i="1"/>
  <c r="BL58" i="1"/>
  <c r="CN58" i="1"/>
  <c r="CO14" i="1"/>
  <c r="CO68" i="1"/>
  <c r="BM14" i="1"/>
  <c r="DN14" i="1"/>
  <c r="CP28" i="1"/>
  <c r="BN28" i="1"/>
  <c r="DO28" i="1"/>
  <c r="CO58" i="1"/>
  <c r="BM58" i="1"/>
  <c r="DN58" i="1"/>
  <c r="CR8" i="1"/>
  <c r="DQ8" i="1"/>
  <c r="BR8" i="1"/>
  <c r="BS8" i="1"/>
  <c r="BT8" i="1"/>
  <c r="BQ8" i="1"/>
  <c r="BP8" i="1"/>
  <c r="CS8" i="1"/>
  <c r="CP14" i="1"/>
  <c r="CP68" i="1"/>
  <c r="BN14" i="1"/>
  <c r="DO14" i="1"/>
  <c r="BO28" i="1"/>
  <c r="CQ28" i="1"/>
  <c r="DP28" i="1"/>
  <c r="DO58" i="1"/>
  <c r="CP58" i="1"/>
  <c r="BN58" i="1"/>
  <c r="BO58" i="1"/>
  <c r="DP58" i="1"/>
  <c r="CQ58" i="1"/>
  <c r="CQ14" i="1"/>
  <c r="CQ68" i="1"/>
  <c r="DP14" i="1"/>
  <c r="BO14" i="1"/>
  <c r="CR28" i="1"/>
  <c r="DQ28" i="1"/>
  <c r="BP28" i="1"/>
  <c r="CS28" i="1"/>
  <c r="BR28" i="1"/>
  <c r="BQ28" i="1"/>
  <c r="BS28" i="1"/>
  <c r="BT28" i="1"/>
  <c r="DQ58" i="1"/>
  <c r="CR58" i="1"/>
  <c r="BS58" i="1"/>
  <c r="BR58" i="1"/>
  <c r="BT58" i="1"/>
  <c r="BQ58" i="1"/>
  <c r="BP58" i="1"/>
  <c r="CS58" i="1"/>
  <c r="DQ14" i="1"/>
  <c r="CR14" i="1"/>
  <c r="BP14" i="1"/>
  <c r="CS14" i="1"/>
  <c r="BR14" i="1"/>
  <c r="BQ14" i="1"/>
  <c r="BS14" i="1"/>
  <c r="BT14" i="1"/>
  <c r="CR68" i="1"/>
  <c r="CS68" i="1"/>
</calcChain>
</file>

<file path=xl/comments1.xml><?xml version="1.0" encoding="utf-8"?>
<comments xmlns="http://schemas.openxmlformats.org/spreadsheetml/2006/main">
  <authors>
    <author>Administrador</author>
    <author>JAIME</author>
  </authors>
  <commentList>
    <comment ref="S8" authorId="0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Se verificó el valor en la base de datos del SIISE y se mantiene:29800/210</t>
        </r>
      </text>
    </comment>
    <comment ref="AF15" authorId="1">
      <text>
        <r>
          <rPr>
            <b/>
            <sz val="9"/>
            <color indexed="81"/>
            <rFont val="Calibri"/>
            <family val="2"/>
          </rPr>
          <t>JAIME:</t>
        </r>
        <r>
          <rPr>
            <sz val="9"/>
            <color indexed="81"/>
            <rFont val="Calibri"/>
            <family val="2"/>
          </rPr>
          <t xml:space="preserve">
DATO NO DISPONIBLE
</t>
        </r>
      </text>
    </comment>
    <comment ref="AF16" authorId="1">
      <text>
        <r>
          <rPr>
            <b/>
            <sz val="9"/>
            <color indexed="81"/>
            <rFont val="Calibri"/>
            <family val="2"/>
          </rPr>
          <t>JAIME:</t>
        </r>
        <r>
          <rPr>
            <sz val="9"/>
            <color indexed="81"/>
            <rFont val="Calibri"/>
            <family val="2"/>
          </rPr>
          <t xml:space="preserve">
DATO NO DISPONIBLE
</t>
        </r>
      </text>
    </comment>
    <comment ref="S33" authorId="0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El aeropuerto de Galápagos es un Aeropuerto Nacional, por lo que solo tiene rutas desde Quito y Gye</t>
        </r>
      </text>
    </comment>
    <comment ref="R34" authorId="0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Distancia mínima al encontrarse el puerto en la ciudad de Esmeraldas</t>
        </r>
      </text>
    </comment>
    <comment ref="S56" authorId="0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No se tiene este valor</t>
        </r>
      </text>
    </comment>
    <comment ref="S57" authorId="0">
      <text>
        <r>
          <rPr>
            <b/>
            <sz val="9"/>
            <color indexed="81"/>
            <rFont val="Tahoma"/>
            <family val="2"/>
          </rPr>
          <t>Administrador: Área protegida de Galápagos</t>
        </r>
      </text>
    </comment>
    <comment ref="S58" authorId="0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Se consideraron valores mínimos para el cálculo</t>
        </r>
      </text>
    </comment>
    <comment ref="S59" authorId="0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Se consideraron valores mínimos para el cálculo</t>
        </r>
      </text>
    </comment>
  </commentList>
</comments>
</file>

<file path=xl/sharedStrings.xml><?xml version="1.0" encoding="utf-8"?>
<sst xmlns="http://schemas.openxmlformats.org/spreadsheetml/2006/main" count="1241" uniqueCount="405">
  <si>
    <t>AÑO DE ESTUDIO</t>
  </si>
  <si>
    <t>Línea Estratégica</t>
  </si>
  <si>
    <t xml:space="preserve">Peso Línea Estratégica </t>
  </si>
  <si>
    <t xml:space="preserve">Peso Indicador </t>
  </si>
  <si>
    <t xml:space="preserve">Indicador para competitividad </t>
  </si>
  <si>
    <t>Indicador</t>
  </si>
  <si>
    <t>Fórmula</t>
  </si>
  <si>
    <t>Fuente</t>
  </si>
  <si>
    <t>Año</t>
  </si>
  <si>
    <t>Medida</t>
  </si>
  <si>
    <t>Azuay</t>
  </si>
  <si>
    <t>Bolívar</t>
  </si>
  <si>
    <t>Cañar</t>
  </si>
  <si>
    <t>Carchi</t>
  </si>
  <si>
    <t>Chimborazo</t>
  </si>
  <si>
    <t>Cotopaxi</t>
  </si>
  <si>
    <t>El Oro</t>
  </si>
  <si>
    <t xml:space="preserve">Esmeraldas </t>
  </si>
  <si>
    <t>Galápagos</t>
  </si>
  <si>
    <t>Guayas</t>
  </si>
  <si>
    <t>Imbabura</t>
  </si>
  <si>
    <t>Loja</t>
  </si>
  <si>
    <t>Los Ríos</t>
  </si>
  <si>
    <t>Manabí</t>
  </si>
  <si>
    <t>Morona Santiago</t>
  </si>
  <si>
    <t>Napo</t>
  </si>
  <si>
    <t>Francisco de Orellana</t>
  </si>
  <si>
    <t>Pastaza</t>
  </si>
  <si>
    <t>Pichincha</t>
  </si>
  <si>
    <t>Sucumbíos</t>
  </si>
  <si>
    <t>Tungurahua</t>
  </si>
  <si>
    <t>Zamora Chinchipe</t>
  </si>
  <si>
    <t>Santa Elena</t>
  </si>
  <si>
    <t>Santo Domingo de los Tsachilas</t>
  </si>
  <si>
    <t>Promedio</t>
  </si>
  <si>
    <t>Desviación Estándar</t>
  </si>
  <si>
    <t>Coeficiente  de variación</t>
  </si>
  <si>
    <t>Provincia líder</t>
  </si>
  <si>
    <t>Max</t>
  </si>
  <si>
    <t>Min</t>
  </si>
  <si>
    <t>Rango Max-min</t>
  </si>
  <si>
    <t>Valor lider</t>
  </si>
  <si>
    <t>1. Azuay - Estandar</t>
  </si>
  <si>
    <t xml:space="preserve">2. Bolívar - Estándar </t>
  </si>
  <si>
    <t xml:space="preserve">3. Cañar - Estándar </t>
  </si>
  <si>
    <t xml:space="preserve">4. Carchi - Estándar </t>
  </si>
  <si>
    <t xml:space="preserve">5. Chimborazo - Estándar </t>
  </si>
  <si>
    <t xml:space="preserve">6. Cotopaxi - Estándar </t>
  </si>
  <si>
    <t xml:space="preserve">7. El Oro - Estándar </t>
  </si>
  <si>
    <t xml:space="preserve">8. Esmeraldas - Estándar </t>
  </si>
  <si>
    <t xml:space="preserve">9. Galápagos - Estándar </t>
  </si>
  <si>
    <t xml:space="preserve">10. Guayas - Estándar </t>
  </si>
  <si>
    <t xml:space="preserve">11. Imbabura -Estándar </t>
  </si>
  <si>
    <t xml:space="preserve">12. Loja - Estándar </t>
  </si>
  <si>
    <t xml:space="preserve">13. Los Ríos - Estándar </t>
  </si>
  <si>
    <t xml:space="preserve">14. Manabí - Estáncar </t>
  </si>
  <si>
    <t xml:space="preserve">15. Morona Santiago - Estáncar </t>
  </si>
  <si>
    <t xml:space="preserve">16. Napo - Estáncar </t>
  </si>
  <si>
    <t xml:space="preserve">17. Francisco de Orellana - Estándar </t>
  </si>
  <si>
    <t xml:space="preserve">18. Pastaza - Estáncar </t>
  </si>
  <si>
    <t xml:space="preserve">19. Pichincha - Estándar </t>
  </si>
  <si>
    <t xml:space="preserve">20. Sucumbíos - Estáncar </t>
  </si>
  <si>
    <t xml:space="preserve">21. Tungurahua - Estáncar </t>
  </si>
  <si>
    <t xml:space="preserve">22. Zamora Chinchipe - Estándar </t>
  </si>
  <si>
    <t>23. Santa Elena</t>
  </si>
  <si>
    <t>24. Santo Domingo de los Tsachilas</t>
  </si>
  <si>
    <t>Promedio normalizado</t>
  </si>
  <si>
    <t>Desviación Estándar Normalizado</t>
  </si>
  <si>
    <t>Coeficiente  de variación normalizado</t>
  </si>
  <si>
    <t>Azuay %</t>
  </si>
  <si>
    <t>Bolívar %</t>
  </si>
  <si>
    <t>Cañar %</t>
  </si>
  <si>
    <t>Carchi %</t>
  </si>
  <si>
    <t>Chimborazo %</t>
  </si>
  <si>
    <t>Cotopaxi %</t>
  </si>
  <si>
    <t>El Oro %</t>
  </si>
  <si>
    <t>Esmeraldas %</t>
  </si>
  <si>
    <t>Galápagos %</t>
  </si>
  <si>
    <t>Guayas %</t>
  </si>
  <si>
    <t>Imbabura %</t>
  </si>
  <si>
    <t>Loja %</t>
  </si>
  <si>
    <t>Los Ríos %</t>
  </si>
  <si>
    <t>Manabí %</t>
  </si>
  <si>
    <t>Morona Santiago %</t>
  </si>
  <si>
    <t>Napo %</t>
  </si>
  <si>
    <t>Francisco de Orellana %</t>
  </si>
  <si>
    <t>Pastaza %</t>
  </si>
  <si>
    <t>Pichincha %</t>
  </si>
  <si>
    <t>Sucumbíos %</t>
  </si>
  <si>
    <t>Tungurahua %</t>
  </si>
  <si>
    <t>Zamora Chinchipe %</t>
  </si>
  <si>
    <t>Santa Elena %</t>
  </si>
  <si>
    <t>Santo Domingo de los Tsachilas %</t>
  </si>
  <si>
    <t>PROMEDIO %</t>
  </si>
  <si>
    <t>Azuay 1</t>
  </si>
  <si>
    <t>Bolívar 1</t>
  </si>
  <si>
    <t>Cañar 1</t>
  </si>
  <si>
    <t>Carchi 1</t>
  </si>
  <si>
    <t>Chimborazo 1</t>
  </si>
  <si>
    <t>Cotopaxi 1</t>
  </si>
  <si>
    <t>El Oro 1</t>
  </si>
  <si>
    <t>Esmeraldas 1</t>
  </si>
  <si>
    <t>Galápagos 1</t>
  </si>
  <si>
    <t>Guayas 1</t>
  </si>
  <si>
    <t>Imbabura 1</t>
  </si>
  <si>
    <t>Loja 1</t>
  </si>
  <si>
    <t>Los Ríos 1</t>
  </si>
  <si>
    <t>Manabí 1</t>
  </si>
  <si>
    <t>Morona Santiago 1</t>
  </si>
  <si>
    <t>Napo 1</t>
  </si>
  <si>
    <t>Francisco de Orellana 1</t>
  </si>
  <si>
    <t>Pastaza 1</t>
  </si>
  <si>
    <t>Pichincha 1</t>
  </si>
  <si>
    <t>Sucumbíos 1</t>
  </si>
  <si>
    <t>Tungurahua 1</t>
  </si>
  <si>
    <t>Zamora Chinchipe 1</t>
  </si>
  <si>
    <t>Santa Elena 1</t>
  </si>
  <si>
    <t>Santo Domingo de los Tsachilas 1</t>
  </si>
  <si>
    <t>Desarrollo Integral de las personas</t>
  </si>
  <si>
    <t>Destruye</t>
  </si>
  <si>
    <t>Tasa de mortalidad infantil</t>
  </si>
  <si>
    <t>(Número de defunciones de niños de menos de 12 meses / Nacidos vivos) x 1000</t>
  </si>
  <si>
    <t>INEC: Censo de Población y Vivienda</t>
  </si>
  <si>
    <t>Tasa x 1.000 nacidos</t>
  </si>
  <si>
    <t xml:space="preserve">Apoya </t>
  </si>
  <si>
    <t>Años de escolaridad</t>
  </si>
  <si>
    <t>Años de estudio promedio</t>
  </si>
  <si>
    <t>INEC: Encuesta de Empleo, Subempleo y Desempleo (ENEMDU)</t>
  </si>
  <si>
    <t>#</t>
  </si>
  <si>
    <t>Tasa de Repitencia y Desersión Esc.</t>
  </si>
  <si>
    <t>(Total deserción primaria) / (población matriculada)</t>
  </si>
  <si>
    <t>%</t>
  </si>
  <si>
    <t>Tasa bruta de asistencia secundaria</t>
  </si>
  <si>
    <t>(Matrícula secundaria) / (población relevante)</t>
  </si>
  <si>
    <t>Pobreza</t>
  </si>
  <si>
    <t>% población pobre según ingresos</t>
  </si>
  <si>
    <t xml:space="preserve">INEC: Encuesta Urbana de Empleo y Desempleo </t>
  </si>
  <si>
    <t>Desempeño Económico</t>
  </si>
  <si>
    <t xml:space="preserve">Producción </t>
  </si>
  <si>
    <t>(PIB provincial ) / (población)</t>
  </si>
  <si>
    <t>Banco Central del Ecuador, y, Proyecciones de Población 2001 - 2010</t>
  </si>
  <si>
    <t>USD (2000)</t>
  </si>
  <si>
    <t>Valor agregado</t>
  </si>
  <si>
    <t>(Valor agregado provincial) / (población)</t>
  </si>
  <si>
    <t>Impuestos pagados</t>
  </si>
  <si>
    <t xml:space="preserve">(IVA +IR + otros) / (población*1000) </t>
  </si>
  <si>
    <t>Servicio de Rentas Internas, y, Proyecciones de Población 2001 - 2010</t>
  </si>
  <si>
    <t>USD por mil Hbts</t>
  </si>
  <si>
    <t>Valor Agregado Per Cápita (No Petrolero)</t>
  </si>
  <si>
    <t>Valor Agregado (No Petrolero) / (Población*1.000)</t>
  </si>
  <si>
    <t>Producción Per Cápita (No petrolera)</t>
  </si>
  <si>
    <t>Producción (No Petrolera) / Población</t>
  </si>
  <si>
    <t xml:space="preserve">Índice de concentración </t>
  </si>
  <si>
    <t>Índice de concentración Hirschman-Herfindahl (HH)*</t>
  </si>
  <si>
    <t>índice de concentación</t>
  </si>
  <si>
    <t>Productividad Media del trabajo según Producción Total</t>
  </si>
  <si>
    <t>Producción Total / Total Personas Ocupadas</t>
  </si>
  <si>
    <t>INEC: Encuesta de Manufactura y Minería</t>
  </si>
  <si>
    <t>$ por trabajador</t>
  </si>
  <si>
    <t>Productividad Media del trabajo según Valor Agregado</t>
  </si>
  <si>
    <t>Valor Agregado Total / Total Personas Ocupadas</t>
  </si>
  <si>
    <t>Coeficiente de Gini</t>
  </si>
  <si>
    <t>Coeficiente (0-1)</t>
  </si>
  <si>
    <t>Empleo</t>
  </si>
  <si>
    <t>Tasa bruta de asistencia superior</t>
  </si>
  <si>
    <t>(Matrícula superior) / (población relevante)</t>
  </si>
  <si>
    <t>Tasa de subempleo urbano</t>
  </si>
  <si>
    <t>(Subempleados) / (PEA Urbano)</t>
  </si>
  <si>
    <t>Tasa de subempleo rural</t>
  </si>
  <si>
    <t>(Subempleados) / (PEA Rural)</t>
  </si>
  <si>
    <t>Tasa de empleo urbano</t>
  </si>
  <si>
    <t>(Empleados) / (PEA Urbano)</t>
  </si>
  <si>
    <t>Tasa de empleo rural</t>
  </si>
  <si>
    <t>(Empleados) / (PEA Rural)</t>
  </si>
  <si>
    <t>Gestión Empresarial</t>
  </si>
  <si>
    <t>Empresas registradas</t>
  </si>
  <si>
    <t>(Compañías) / (población/1000000)</t>
  </si>
  <si>
    <t>Tasa x 1.000.000 hab.</t>
  </si>
  <si>
    <t>PYMES</t>
  </si>
  <si>
    <t>(PYMES) / (Empresas)</t>
  </si>
  <si>
    <t>Superintendencia de Compañías: Departamento de Estudios Societarios</t>
  </si>
  <si>
    <t>Activos empresariales</t>
  </si>
  <si>
    <t>(Activos) / (Activos totales compañías)</t>
  </si>
  <si>
    <t>Industrias</t>
  </si>
  <si>
    <t>(Industrias) / (empresas)</t>
  </si>
  <si>
    <t>Gestión, Gobiernos e Instituciones</t>
  </si>
  <si>
    <t>Ingresos propios</t>
  </si>
  <si>
    <t>(Ingresos Propios) / (Ingresos Totales)</t>
  </si>
  <si>
    <t>Endeudameinto</t>
  </si>
  <si>
    <t>(Pasivos Totales) / (Ingresos Totales)</t>
  </si>
  <si>
    <t xml:space="preserve">Inversión </t>
  </si>
  <si>
    <t>(Gasto Inversión) / (Gasto Total)</t>
  </si>
  <si>
    <t>Gasto social</t>
  </si>
  <si>
    <t>(Gasto público salud+educ) / población</t>
  </si>
  <si>
    <t>$</t>
  </si>
  <si>
    <t>Gobiernos Subnacionales</t>
  </si>
  <si>
    <t>(No.Gobiernos) / (población/1000000)</t>
  </si>
  <si>
    <t>Infraestructura y Localización</t>
  </si>
  <si>
    <t>Km vias asfaltadas</t>
  </si>
  <si>
    <t>(Km) / (superficie km2 )</t>
  </si>
  <si>
    <t xml:space="preserve">Ministerio de Transporte y Obras Públicas: Estadísticas de Transporte </t>
  </si>
  <si>
    <t>Distancia a aeropuertos int´I</t>
  </si>
  <si>
    <t>(Distancia de capital de provincia a ciudad con arpto int. más cercano)</t>
  </si>
  <si>
    <t xml:space="preserve">Ministerio de Transporte y Obras Públicas </t>
  </si>
  <si>
    <t>km</t>
  </si>
  <si>
    <t>Distancia a puertos int´I</t>
  </si>
  <si>
    <t>(Distancia a capital de provincia a ciudad con puerto más cercano)</t>
  </si>
  <si>
    <t>Cobertura teléfono fijo</t>
  </si>
  <si>
    <t>(Líneas fijas) / (población)</t>
  </si>
  <si>
    <t>Superintendencia de Telecomunicaciones</t>
  </si>
  <si>
    <t>Cobertura teléfono celular</t>
  </si>
  <si>
    <t>(Líneas móviles) / (población)</t>
  </si>
  <si>
    <t>Cobertura internet</t>
  </si>
  <si>
    <t>(Cuentas internet) /(población)</t>
  </si>
  <si>
    <t>Personas con Postgrado</t>
  </si>
  <si>
    <t>(Personas) / (población*/1000000)</t>
  </si>
  <si>
    <t>Inversión de I&amp;D de empresas</t>
  </si>
  <si>
    <t>(Gastos de Exploración, Investigación y Otros) / (empresas)</t>
  </si>
  <si>
    <t>(No.Carreras ofertadas) / (población/1000000)</t>
  </si>
  <si>
    <t>Universidades e instit. Superiores</t>
  </si>
  <si>
    <t xml:space="preserve">Investigadores por provincia </t>
  </si>
  <si>
    <t>Investigadores por provincia</t>
  </si>
  <si>
    <t>Fuente: Encuesta Nacional de Ciencia y Tecnología 2012-2014, Convenio INEC-SENESCYT</t>
  </si>
  <si>
    <t>Internacionalización y Apertura</t>
  </si>
  <si>
    <t>Empresas exportadoras</t>
  </si>
  <si>
    <t>(Empresas Exportadoras) / (empresas)</t>
  </si>
  <si>
    <t>Exportaciones (No petroleros)</t>
  </si>
  <si>
    <t>(Exportaciones) / (Exportaciones Totales)</t>
  </si>
  <si>
    <t>Inversión Extranjera</t>
  </si>
  <si>
    <t>(Inversión Extranjera) / (población)</t>
  </si>
  <si>
    <t>Exportación (No petroleros) per cápita</t>
  </si>
  <si>
    <t>(Exportaciones)  / (población)</t>
  </si>
  <si>
    <t>Per Cápita</t>
  </si>
  <si>
    <t>Mercados financieros</t>
  </si>
  <si>
    <t>Depósitos en sistema financiero</t>
  </si>
  <si>
    <t>(Captaciones) / (captaciones totales nacionales)</t>
  </si>
  <si>
    <t>Cartera a sistema financiero</t>
  </si>
  <si>
    <t>(Cartera) / (cartera total nacional)</t>
  </si>
  <si>
    <t>Depósitos en sistema financiero para población</t>
  </si>
  <si>
    <t>(Captaciones) / (Población)</t>
  </si>
  <si>
    <t>Dólares per cápita</t>
  </si>
  <si>
    <t>Cartera productiva en la provincia</t>
  </si>
  <si>
    <t>(Cartera comercial) / (créditos totales provinciales)</t>
  </si>
  <si>
    <t>Cartera productiva per cápita</t>
  </si>
  <si>
    <t>(Cartera comercial) / (población)</t>
  </si>
  <si>
    <t>Morosidad en provincia</t>
  </si>
  <si>
    <t>(Créditos vencidos) / (Créditos Totales Provinciales)</t>
  </si>
  <si>
    <t>Microcrédito en provincia</t>
  </si>
  <si>
    <t>(Microcrédito) / (Créditos Totales Provinciales)</t>
  </si>
  <si>
    <t>Microcrédito para población</t>
  </si>
  <si>
    <t>(Microcrédito) / (Población)</t>
  </si>
  <si>
    <t>No. Sucursales bancarias</t>
  </si>
  <si>
    <t>(Sucursales) / (población/1000000)</t>
  </si>
  <si>
    <t>Asociación de Bancos Privados</t>
  </si>
  <si>
    <t>Recursos Naturales y Ambiente</t>
  </si>
  <si>
    <t>Superficie cultivada</t>
  </si>
  <si>
    <t>INEC: Encuesta Encuesta de Superficie y Producción Contínua (ESPAC)</t>
  </si>
  <si>
    <t xml:space="preserve">% </t>
  </si>
  <si>
    <t>Bosques y páramos</t>
  </si>
  <si>
    <t>(montes, bosques y páramos) / (área total por provincia)</t>
  </si>
  <si>
    <t>Seguridad Jurídica</t>
  </si>
  <si>
    <t>Delitos a personas y propiedad</t>
  </si>
  <si>
    <t>(Denuncia Delitos) / (población)</t>
  </si>
  <si>
    <t>Dirección Nacional de Policía Judicial: Departamento de Estadísticas</t>
  </si>
  <si>
    <t>Efectividad detenciones</t>
  </si>
  <si>
    <t>(Detenidos) / (denuncias)</t>
  </si>
  <si>
    <t>Consejo Nacional de la Judicatura: Dirección de Personal</t>
  </si>
  <si>
    <t>Personal de justicia</t>
  </si>
  <si>
    <t>(Personal)/(población/1000000)</t>
  </si>
  <si>
    <t>Urbanización</t>
  </si>
  <si>
    <t xml:space="preserve">Densidad poblacional </t>
  </si>
  <si>
    <t>(Población) / (Km2)</t>
  </si>
  <si>
    <t>% Población urbana</t>
  </si>
  <si>
    <t>(Poblacion urbana) / (población)</t>
  </si>
  <si>
    <t>% Fuerza laboral</t>
  </si>
  <si>
    <t>(PEA) / (población)</t>
  </si>
  <si>
    <t>Cobertura agua potable</t>
  </si>
  <si>
    <t>(Conexiones) / (hogares)</t>
  </si>
  <si>
    <t>Cobertura electricidad</t>
  </si>
  <si>
    <t>(Número de viviendas con conexión) / (Total de viviendas)</t>
  </si>
  <si>
    <t>Costo electricidad</t>
  </si>
  <si>
    <t>(Costo KW) / (hora)</t>
  </si>
  <si>
    <t>Consejo Nacional de Elecrificación (CONELEC)</t>
  </si>
  <si>
    <t xml:space="preserve">TOTAL INDICADOR </t>
  </si>
  <si>
    <t>Total general</t>
  </si>
  <si>
    <t>Etiquetas de columna</t>
  </si>
  <si>
    <t>Valores</t>
  </si>
  <si>
    <t>PESOS</t>
  </si>
  <si>
    <t>PILARES</t>
  </si>
  <si>
    <t>TOTAL</t>
  </si>
  <si>
    <t>Promedio de 1. Azuay - Estandar</t>
  </si>
  <si>
    <t xml:space="preserve">Promedio de 2. Bolívar - Estándar </t>
  </si>
  <si>
    <t xml:space="preserve">Promedio de 3. Cañar - Estándar </t>
  </si>
  <si>
    <t xml:space="preserve">Promedio de 4. Carchi - Estándar </t>
  </si>
  <si>
    <t xml:space="preserve">Promedio de 5. Chimborazo - Estándar </t>
  </si>
  <si>
    <t xml:space="preserve">Promedio de 6. Cotopaxi - Estándar </t>
  </si>
  <si>
    <t xml:space="preserve">Promedio de 7. El Oro - Estándar </t>
  </si>
  <si>
    <t xml:space="preserve">Promedio de 8. Esmeraldas - Estándar </t>
  </si>
  <si>
    <t xml:space="preserve">Promedio de 9. Galápagos - Estándar </t>
  </si>
  <si>
    <t xml:space="preserve">Promedio de 10. Guayas - Estándar </t>
  </si>
  <si>
    <t xml:space="preserve">Promedio de 11. Imbabura -Estándar </t>
  </si>
  <si>
    <t xml:space="preserve">Promedio de 12. Loja - Estándar </t>
  </si>
  <si>
    <t xml:space="preserve">Promedio de 13. Los Ríos - Estándar </t>
  </si>
  <si>
    <t xml:space="preserve">Promedio de 14. Manabí - Estáncar </t>
  </si>
  <si>
    <t xml:space="preserve">Promedio de 15. Morona Santiago - Estáncar </t>
  </si>
  <si>
    <t xml:space="preserve">Promedio de 16. Napo - Estáncar </t>
  </si>
  <si>
    <t xml:space="preserve">Promedio de 17. Francisco de Orellana - Estándar </t>
  </si>
  <si>
    <t xml:space="preserve">Promedio de 19. Pichincha - Estándar </t>
  </si>
  <si>
    <t xml:space="preserve">Promedio de 18. Pastaza - Estáncar </t>
  </si>
  <si>
    <t xml:space="preserve">Promedio de 20. Sucumbíos - Estáncar </t>
  </si>
  <si>
    <t xml:space="preserve">Promedio de 21. Tungurahua - Estáncar </t>
  </si>
  <si>
    <t xml:space="preserve">Promedio de 22. Zamora Chinchipe - Estándar </t>
  </si>
  <si>
    <t>Promedio de 23. Santa Elena</t>
  </si>
  <si>
    <t>Promedio de 24. Santo Domingo de los Tsachilas</t>
  </si>
  <si>
    <t xml:space="preserve">PROMEDIO PONDERADO COMPETITIVIDAD TOTAL </t>
  </si>
  <si>
    <t xml:space="preserve">PROMEDIO PONDERADO COMPETITIVIDAD POR PILAR </t>
  </si>
  <si>
    <t>Etiquetas de fila</t>
  </si>
  <si>
    <t>Total</t>
  </si>
  <si>
    <t>Esmeraldas</t>
  </si>
  <si>
    <t>Ubicación</t>
  </si>
  <si>
    <t>Provincia</t>
  </si>
  <si>
    <t>Puntaje</t>
  </si>
  <si>
    <t>Promedio Nacional</t>
  </si>
  <si>
    <t xml:space="preserve">base </t>
  </si>
  <si>
    <t>original</t>
  </si>
  <si>
    <t>ALTO</t>
  </si>
  <si>
    <t>MUY BAJA</t>
  </si>
  <si>
    <t>BAJA</t>
  </si>
  <si>
    <t>MEDIA</t>
  </si>
  <si>
    <t>Promedio de Desempeño Económico</t>
  </si>
  <si>
    <t>Promedio de Total general</t>
  </si>
  <si>
    <t>Promedio de Empleo</t>
  </si>
  <si>
    <t>Promedio de Infraestructura y Localización</t>
  </si>
  <si>
    <t>Promedio de Mercados financieros</t>
  </si>
  <si>
    <t>Promedio de Internacionalización y Apertura</t>
  </si>
  <si>
    <t>Promedio de Urbanización</t>
  </si>
  <si>
    <t>Promedio de Desarrollo Integral de las personas</t>
  </si>
  <si>
    <t>Promedio de Gestión, Gobiernos e Instituciones</t>
  </si>
  <si>
    <t>Promedio de Seguridad Jurídica</t>
  </si>
  <si>
    <t>Promedio de Recursos Naturales y Ambiente</t>
  </si>
  <si>
    <t>Promedio de Gestión Empresarial</t>
  </si>
  <si>
    <t>No</t>
  </si>
  <si>
    <t xml:space="preserve">Provincia </t>
  </si>
  <si>
    <t xml:space="preserve">Promedio nacional </t>
  </si>
  <si>
    <t>Habilitantes de Innovación, Ciencia y Tecnología</t>
  </si>
  <si>
    <t>Unidades judiciales y servicios</t>
  </si>
  <si>
    <t>(Unidades judiciales y servicios) / (población/1000000)</t>
  </si>
  <si>
    <t>Consejo Nacional de la Judicatura: Guía de unidades judiciales y servicios</t>
  </si>
  <si>
    <t>SENESCYT: visorgeografico</t>
  </si>
  <si>
    <t>INEC: Encuesta de Ciencia y Tecnología e Innovación</t>
  </si>
  <si>
    <t>Número de Carreras Universitarias</t>
  </si>
  <si>
    <t>STADÍSTICAS DE LOS GOBIERNOS</t>
  </si>
  <si>
    <t>EN EL ECUADOR: 2004 - 2013/ página 73</t>
  </si>
  <si>
    <t>EVALUACION BÁSICA MUNICIPAL‎ - BANCO DEL ESTADO</t>
  </si>
  <si>
    <t>Sistema Nacional de Información  - SENPLADES</t>
  </si>
  <si>
    <t>INEC - Clasificador Geografico Estadísticos</t>
  </si>
  <si>
    <t>ENDICIÓN DE CUENTAS EN EL PERÍODO DEL 01 DE ENERO AL 31 DE DICIEMBRE DE 2016 PÁGINA NRO.8</t>
  </si>
  <si>
    <t>Coordinación de Estudios Macroecoónicos MIPRO - SRI Formulario 101 y 102</t>
  </si>
  <si>
    <t xml:space="preserve">Coordinación de Proyectos Estratégicos - MIPRO </t>
  </si>
  <si>
    <t>Base de Datos (En formato SPSS)</t>
  </si>
  <si>
    <t>Resultados provinciales (Datos tomados de cada pestaña por provincia)</t>
  </si>
  <si>
    <t xml:space="preserve">http://www.superbancos.gob.ec/practg/sbs_index?vp_art_id=5036&amp;vp_tip=2&amp;vp_buscr=41#10
CAPCOL BANCOS AÑO 2017/ Captaciones Bancos </t>
  </si>
  <si>
    <t>https://datalab.asobanca.org.ec/datalab/resources/site/index.html?QlikTicket=CurPQlA6TBSJQJ3i#
Volumen de crédito/ Base de datos- Volumen</t>
  </si>
  <si>
    <t>https://datalab.asobanca.org.ec/datalab/resources/site/index.html?QlikTicket=CurPQlA6TBSJQJ3i#
Volumen de crédito/ Base de datos- Volumen
Adicionalmente de utiliza la información de población por provincia</t>
  </si>
  <si>
    <t>http://www.superbancos.gob.ec/practg/sbs_index?vp_art_id=5036&amp;vp_tip=2#10
CAPCOL BANCOS AÑO 2017/ Colocaciones (Agosto 2017)/ Usar los datos de las 5 carteras para obtener la  morosidad total</t>
  </si>
  <si>
    <t>https://declaraciones.sri.gob.ec/saiku-ui/
En cubo (declaraciones 101)/ En Dimensiones (Año Fiscal) / En medidas (Exportaciones Netas 603)</t>
  </si>
  <si>
    <t>https://declaraciones.sri.gob.ec/saiku-ui/
En cubo (declaraciones 101)/ En Dimensiones (Año Fiscal) / En medidas (Exportaciones Netas 603)
Adicionalmente usar los datos de población por provincia</t>
  </si>
  <si>
    <t>http://appscvs.supercias.gob.ec/portalInformacion/sector_societario.zul
Inversión de extrajeros por país</t>
  </si>
  <si>
    <t>https://www.bce.fin.ec/index.php/component/k2/item/756
Sector real / Cuentas regionales/ Aplicativo cuentas provinciales 2015 (SD)</t>
  </si>
  <si>
    <t>https://www.bce.fin.ec/index.php/component/k2/item/756
Sector real / Cuentas regionales/ Aplicativo cuentas provinciales 2015 (SD)
Usar adicionalmente la población provincial</t>
  </si>
  <si>
    <t>http://www.ecuadorencifras.gob.ec/enemdu-2017/
Base de Datos (En formato SPSS)</t>
  </si>
  <si>
    <t>http://www.ecuadorencifras.gob.ec/informacion-censal-cantonal/
Tabulados censales/  Población, superficie (km2), densidad poblacional a nivel provincial</t>
  </si>
  <si>
    <t>http://www.ecuadorencifras.gob.ec/informacion-censal-cantonal/
tabulados censales/ Población por área, según provincia, cantón y parroquia de empadronamiento</t>
  </si>
  <si>
    <t xml:space="preserve">http://www.ecuadorencifras.gob.ec/censo-de-poblacion-y-vivienda/
Resultados provinciales (Datos tomados de cada pestaña por provincia)
</t>
  </si>
  <si>
    <t>(Hectáreas de Cultivos Transitorios + Cultivos Permanentes+pastos cultivados) / (Superficie en Hectáreas)</t>
  </si>
  <si>
    <t>Promedio de Habilitantes de Innovación, Ciencia y Tecnología</t>
  </si>
  <si>
    <t xml:space="preserve">INDICADORES RESUMIDOS CON NOMBRE DE PROVINCIA </t>
  </si>
  <si>
    <t>Pilares</t>
  </si>
  <si>
    <t>Número de indicadores por pilar</t>
  </si>
  <si>
    <t>No. De Universidades e Institutos / (población / 1000000)</t>
  </si>
  <si>
    <t xml:space="preserve">INDICADOR ÚNICO DE COMPETITIVIDAD PROVINCIAL </t>
  </si>
  <si>
    <t>GRÁFICOS POR PILAR COMPETITIVO</t>
  </si>
  <si>
    <t xml:space="preserve">FUENTE Y ELABORACIÓN: MIPRO </t>
  </si>
  <si>
    <t>Promedio provincias</t>
  </si>
  <si>
    <t>UBICACIÓN COMPARADA DE LA PROVINCIA POR CADA PILAR DE COMPETITIVIDAD</t>
  </si>
  <si>
    <t xml:space="preserve">PILARES DE COMPETITIVIDAD COMPARADOS POR PROVINCIAS </t>
  </si>
  <si>
    <t>Evaluación</t>
  </si>
  <si>
    <t xml:space="preserve">UBICACIÓN RELATIVA POR PROVINCIA </t>
  </si>
  <si>
    <t>Indicadores del índice único de competitividad provincial comparado por provincia seleccionada</t>
  </si>
  <si>
    <t xml:space="preserve">ÍNDICE ÚNICO DE COMPETITIVIDAD PROVINCIAL </t>
  </si>
  <si>
    <t>INDICADORES POR PILAR</t>
  </si>
  <si>
    <t>INDICADORES POR PROVINCIA</t>
  </si>
  <si>
    <t>ÍNDICE ÚNICO DE COMPETITIVIDAD PROVINCIAL (IUCP)</t>
  </si>
  <si>
    <t>ÍNDICE</t>
  </si>
  <si>
    <t>(seleccione la provincia)</t>
  </si>
  <si>
    <t xml:space="preserve">Ubicación relativa de la provincia seleccionada </t>
  </si>
  <si>
    <t>Detalle indicadores provincia</t>
  </si>
  <si>
    <t>Comparación índice entre provincias seleccionadas</t>
  </si>
  <si>
    <t></t>
  </si>
  <si>
    <t>Índice único de competitividad provincial</t>
  </si>
  <si>
    <t>Gráficos de indicadores por pilar</t>
  </si>
  <si>
    <t>índice único de competitividad provincial (valores)</t>
  </si>
  <si>
    <t xml:space="preserve">NOTA: Para analizar una provincia se debe ir a IUCP por provincia </t>
  </si>
  <si>
    <t>IUCP por provincia</t>
  </si>
  <si>
    <t>ECUADOR 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</si>
</sst>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#,##0.00000"/>
    <numFmt numFmtId="165" formatCode="0.000%"/>
    <numFmt numFmtId="166" formatCode="#,##0.0"/>
    <numFmt numFmtId="167" formatCode="_ * #,##0_ ;_ * \-#,##0_ ;_ * &quot;-&quot;??_ ;_ @_ "/>
    <numFmt numFmtId="168" formatCode="0.0"/>
    <numFmt numFmtId="169" formatCode="0.0000%"/>
    <numFmt numFmtId="170" formatCode="#,##0.0000"/>
    <numFmt numFmtId="171" formatCode="0.0%"/>
    <numFmt numFmtId="172" formatCode="_ * #,##0.0_ ;_ * \-#,##0.0_ ;_ * &quot;-&quot;??_ ;_ @_ "/>
    <numFmt numFmtId="173" formatCode="_ * #,##0.000_ ;_ * \-#,##0.000_ ;_ * &quot;-&quot;?_ ;_ @_ "/>
    <numFmt numFmtId="174" formatCode="_ * #,##0.0_ ;_ * \-#,##0.0_ ;_ * &quot;-&quot;?_ ;_ @_ "/>
    <numFmt numFmtId="175" formatCode="_ &quot;$&quot;* #,##0.0_ ;_ &quot;$&quot;* \-#,##0.0_ ;_ &quot;$&quot;* &quot;-&quot;??_ ;_ @_ "/>
    <numFmt numFmtId="176" formatCode="_ &quot;$&quot;* #,##0_ ;_ &quot;$&quot;* \-#,##0_ ;_ &quot;$&quot;* &quot;-&quot;??_ ;_ @_ "/>
  </numFmts>
  <fonts count="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8"/>
      <name val="Arial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Arial"/>
      <family val="2"/>
    </font>
    <font>
      <sz val="10"/>
      <color rgb="FF9C0006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Arial"/>
      <family val="2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u/>
      <sz val="8"/>
      <color theme="10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4" tint="-0.249977111117893"/>
      <name val="Calibri"/>
      <scheme val="minor"/>
    </font>
    <font>
      <b/>
      <sz val="28"/>
      <color theme="4" tint="-0.249977111117893"/>
      <name val="Calibri"/>
      <scheme val="minor"/>
    </font>
    <font>
      <sz val="12"/>
      <color theme="4" tint="-0.249977111117893"/>
      <name val="Calibri"/>
      <scheme val="minor"/>
    </font>
    <font>
      <b/>
      <sz val="12"/>
      <color theme="5" tint="-0.249977111117893"/>
      <name val="Calibri"/>
      <scheme val="minor"/>
    </font>
    <font>
      <sz val="12"/>
      <color theme="5" tint="-0.249977111117893"/>
      <name val="Calibri"/>
      <scheme val="minor"/>
    </font>
    <font>
      <sz val="16"/>
      <color theme="5" tint="-0.249977111117893"/>
      <name val="Calibri"/>
      <scheme val="minor"/>
    </font>
    <font>
      <b/>
      <sz val="16"/>
      <color theme="5" tint="-0.249977111117893"/>
      <name val="Calibri"/>
      <scheme val="minor"/>
    </font>
    <font>
      <b/>
      <sz val="18"/>
      <color theme="4" tint="-0.249977111117893"/>
      <name val="Calibri"/>
      <scheme val="minor"/>
    </font>
    <font>
      <b/>
      <sz val="12"/>
      <color theme="4" tint="-0.249977111117893"/>
      <name val="Calibri"/>
      <scheme val="minor"/>
    </font>
    <font>
      <u/>
      <sz val="12"/>
      <color theme="0"/>
      <name val="Calibri"/>
      <scheme val="minor"/>
    </font>
    <font>
      <u/>
      <sz val="16"/>
      <color theme="0"/>
      <name val="Calibri"/>
      <scheme val="minor"/>
    </font>
    <font>
      <b/>
      <sz val="16"/>
      <color theme="0"/>
      <name val="Calibri"/>
      <scheme val="minor"/>
    </font>
    <font>
      <sz val="15"/>
      <color theme="4" tint="-0.249977111117893"/>
      <name val="Calibri"/>
      <scheme val="minor"/>
    </font>
    <font>
      <sz val="12"/>
      <color theme="4" tint="-0.249977111117893"/>
      <name val="Wingdings"/>
    </font>
  </fonts>
  <fills count="3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indexed="65"/>
        <bgColor theme="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4" tint="-0.499984740745262"/>
        <bgColor theme="0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5" tint="-0.499984740745262"/>
      </right>
      <top/>
      <bottom style="thin">
        <color theme="5" tint="-0.499984740745262"/>
      </bottom>
      <diagonal/>
    </border>
    <border>
      <left/>
      <right style="thin">
        <color rgb="FF632523"/>
      </right>
      <top/>
      <bottom style="thin">
        <color rgb="FF632523"/>
      </bottom>
      <diagonal/>
    </border>
  </borders>
  <cellStyleXfs count="539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3" fillId="0" borderId="0"/>
    <xf numFmtId="0" fontId="2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4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4" fillId="12" borderId="1" xfId="0" applyFont="1" applyFill="1" applyBorder="1"/>
    <xf numFmtId="0" fontId="4" fillId="12" borderId="2" xfId="0" applyFont="1" applyFill="1" applyBorder="1"/>
    <xf numFmtId="9" fontId="4" fillId="12" borderId="1" xfId="2" applyFont="1" applyFill="1" applyBorder="1"/>
    <xf numFmtId="9" fontId="0" fillId="0" borderId="1" xfId="2" applyFont="1" applyBorder="1"/>
    <xf numFmtId="9" fontId="0" fillId="12" borderId="1" xfId="2" applyFont="1" applyFill="1" applyBorder="1"/>
    <xf numFmtId="0" fontId="17" fillId="7" borderId="2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171" fontId="0" fillId="0" borderId="0" xfId="2" applyNumberFormat="1" applyFont="1"/>
    <xf numFmtId="43" fontId="0" fillId="0" borderId="0" xfId="1" applyFont="1"/>
    <xf numFmtId="43" fontId="0" fillId="0" borderId="1" xfId="1" applyFont="1" applyBorder="1"/>
    <xf numFmtId="0" fontId="4" fillId="13" borderId="1" xfId="0" applyFont="1" applyFill="1" applyBorder="1"/>
    <xf numFmtId="43" fontId="4" fillId="13" borderId="1" xfId="0" applyNumberFormat="1" applyFont="1" applyFill="1" applyBorder="1"/>
    <xf numFmtId="0" fontId="17" fillId="7" borderId="0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172" fontId="0" fillId="0" borderId="1" xfId="1" applyNumberFormat="1" applyFont="1" applyBorder="1"/>
    <xf numFmtId="0" fontId="19" fillId="0" borderId="1" xfId="0" applyFont="1" applyBorder="1"/>
    <xf numFmtId="0" fontId="4" fillId="14" borderId="1" xfId="0" applyFont="1" applyFill="1" applyBorder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7" borderId="1" xfId="0" applyFill="1" applyBorder="1"/>
    <xf numFmtId="0" fontId="17" fillId="7" borderId="1" xfId="0" applyFont="1" applyFill="1" applyBorder="1" applyAlignment="1">
      <alignment horizontal="center" vertical="center" wrapText="1"/>
    </xf>
    <xf numFmtId="0" fontId="0" fillId="4" borderId="0" xfId="0" applyFill="1"/>
    <xf numFmtId="43" fontId="0" fillId="4" borderId="1" xfId="1" applyFont="1" applyFill="1" applyBorder="1"/>
    <xf numFmtId="0" fontId="0" fillId="4" borderId="1" xfId="0" applyFill="1" applyBorder="1"/>
    <xf numFmtId="0" fontId="4" fillId="19" borderId="1" xfId="0" applyFont="1" applyFill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43" fontId="4" fillId="19" borderId="1" xfId="1" applyFont="1" applyFill="1" applyBorder="1"/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9" fontId="5" fillId="2" borderId="1" xfId="2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6" fillId="5" borderId="3" xfId="0" applyFont="1" applyFill="1" applyBorder="1" applyAlignment="1" applyProtection="1">
      <alignment horizontal="center" vertical="center" wrapText="1"/>
      <protection locked="0"/>
    </xf>
    <xf numFmtId="0" fontId="6" fillId="6" borderId="4" xfId="0" applyFont="1" applyFill="1" applyBorder="1" applyAlignment="1" applyProtection="1">
      <alignment horizontal="center" vertical="center" wrapText="1"/>
      <protection locked="0"/>
    </xf>
    <xf numFmtId="0" fontId="6" fillId="6" borderId="5" xfId="0" applyFont="1" applyFill="1" applyBorder="1" applyAlignment="1" applyProtection="1">
      <alignment horizontal="center" vertical="center" wrapText="1"/>
      <protection locked="0"/>
    </xf>
    <xf numFmtId="9" fontId="6" fillId="5" borderId="1" xfId="2" applyFont="1" applyFill="1" applyBorder="1" applyAlignment="1" applyProtection="1">
      <alignment horizontal="center" vertical="center" wrapText="1"/>
      <protection locked="0"/>
    </xf>
    <xf numFmtId="0" fontId="6" fillId="3" borderId="6" xfId="0" applyFont="1" applyFill="1" applyBorder="1" applyAlignment="1" applyProtection="1">
      <alignment horizontal="center" vertical="center" wrapText="1"/>
      <protection locked="0"/>
    </xf>
    <xf numFmtId="0" fontId="6" fillId="3" borderId="7" xfId="0" applyFont="1" applyFill="1" applyBorder="1" applyAlignment="1" applyProtection="1">
      <alignment horizontal="center" vertical="center" wrapText="1"/>
      <protection locked="0"/>
    </xf>
    <xf numFmtId="0" fontId="6" fillId="4" borderId="6" xfId="0" applyFont="1" applyFill="1" applyBorder="1" applyAlignment="1" applyProtection="1">
      <alignment horizontal="center" vertical="center" wrapText="1"/>
      <protection locked="0"/>
    </xf>
    <xf numFmtId="0" fontId="6" fillId="4" borderId="7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6" fillId="7" borderId="1" xfId="0" applyFont="1" applyFill="1" applyBorder="1" applyProtection="1">
      <protection locked="0"/>
    </xf>
    <xf numFmtId="0" fontId="6" fillId="7" borderId="1" xfId="0" applyFont="1" applyFill="1" applyBorder="1" applyAlignment="1" applyProtection="1">
      <alignment horizontal="center" vertical="center" wrapText="1"/>
      <protection locked="0"/>
    </xf>
    <xf numFmtId="9" fontId="6" fillId="7" borderId="8" xfId="2" applyFont="1" applyFill="1" applyBorder="1" applyAlignment="1" applyProtection="1">
      <alignment horizontal="center" vertical="center" wrapText="1"/>
      <protection locked="0"/>
    </xf>
    <xf numFmtId="9" fontId="6" fillId="7" borderId="8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1" xfId="0" applyFont="1" applyFill="1" applyBorder="1" applyAlignment="1" applyProtection="1">
      <alignment horizontal="left" vertical="center" wrapText="1"/>
      <protection locked="0"/>
    </xf>
    <xf numFmtId="0" fontId="7" fillId="8" borderId="8" xfId="0" applyFont="1" applyFill="1" applyBorder="1" applyAlignment="1" applyProtection="1">
      <alignment horizontal="left" vertical="center" wrapText="1"/>
      <protection locked="0"/>
    </xf>
    <xf numFmtId="4" fontId="8" fillId="8" borderId="8" xfId="0" applyNumberFormat="1" applyFont="1" applyFill="1" applyBorder="1" applyAlignment="1" applyProtection="1">
      <alignment horizontal="right" vertical="center"/>
      <protection locked="0"/>
    </xf>
    <xf numFmtId="4" fontId="8" fillId="8" borderId="9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Fill="1" applyProtection="1">
      <protection locked="0"/>
    </xf>
    <xf numFmtId="0" fontId="7" fillId="8" borderId="11" xfId="0" applyFont="1" applyFill="1" applyBorder="1" applyAlignment="1" applyProtection="1">
      <alignment horizontal="left" vertical="center" wrapText="1"/>
      <protection locked="0"/>
    </xf>
    <xf numFmtId="0" fontId="7" fillId="8" borderId="12" xfId="0" applyFont="1" applyFill="1" applyBorder="1" applyAlignment="1" applyProtection="1">
      <alignment horizontal="left" vertical="center" wrapText="1"/>
      <protection locked="0"/>
    </xf>
    <xf numFmtId="0" fontId="7" fillId="8" borderId="13" xfId="0" applyFont="1" applyFill="1" applyBorder="1" applyAlignment="1" applyProtection="1">
      <alignment horizontal="left" vertical="center" wrapText="1"/>
      <protection locked="0"/>
    </xf>
    <xf numFmtId="4" fontId="8" fillId="8" borderId="12" xfId="0" applyNumberFormat="1" applyFont="1" applyFill="1" applyBorder="1" applyAlignment="1" applyProtection="1">
      <alignment horizontal="right" vertical="center"/>
      <protection locked="0"/>
    </xf>
    <xf numFmtId="4" fontId="8" fillId="8" borderId="13" xfId="0" applyNumberFormat="1" applyFont="1" applyFill="1" applyBorder="1" applyAlignment="1" applyProtection="1">
      <alignment horizontal="right" vertical="center"/>
      <protection locked="0"/>
    </xf>
    <xf numFmtId="10" fontId="8" fillId="8" borderId="12" xfId="0" applyNumberFormat="1" applyFont="1" applyFill="1" applyBorder="1" applyAlignment="1" applyProtection="1">
      <alignment horizontal="right" vertical="center"/>
      <protection locked="0"/>
    </xf>
    <xf numFmtId="10" fontId="8" fillId="8" borderId="13" xfId="0" applyNumberFormat="1" applyFont="1" applyFill="1" applyBorder="1" applyAlignment="1" applyProtection="1">
      <alignment horizontal="right" vertical="center"/>
      <protection locked="0"/>
    </xf>
    <xf numFmtId="0" fontId="24" fillId="18" borderId="1" xfId="309" applyFont="1" applyFill="1" applyBorder="1" applyAlignment="1" applyProtection="1">
      <alignment horizontal="center" vertical="center" wrapText="1"/>
      <protection locked="0"/>
    </xf>
    <xf numFmtId="9" fontId="6" fillId="7" borderId="3" xfId="0" applyNumberFormat="1" applyFont="1" applyFill="1" applyBorder="1" applyAlignment="1" applyProtection="1">
      <alignment horizontal="center" vertical="center" wrapText="1"/>
      <protection locked="0"/>
    </xf>
    <xf numFmtId="164" fontId="8" fillId="8" borderId="12" xfId="0" applyNumberFormat="1" applyFont="1" applyFill="1" applyBorder="1" applyAlignment="1" applyProtection="1">
      <alignment horizontal="right" vertical="center"/>
      <protection locked="0"/>
    </xf>
    <xf numFmtId="164" fontId="8" fillId="8" borderId="13" xfId="0" applyNumberFormat="1" applyFont="1" applyFill="1" applyBorder="1" applyAlignment="1" applyProtection="1">
      <alignment horizontal="right" vertical="center"/>
      <protection locked="0"/>
    </xf>
    <xf numFmtId="0" fontId="15" fillId="0" borderId="0" xfId="309" applyFont="1" applyAlignment="1" applyProtection="1">
      <alignment wrapText="1"/>
      <protection locked="0"/>
    </xf>
    <xf numFmtId="0" fontId="7" fillId="9" borderId="11" xfId="0" applyFont="1" applyFill="1" applyBorder="1" applyAlignment="1" applyProtection="1">
      <alignment horizontal="left" vertical="center" wrapText="1"/>
      <protection locked="0"/>
    </xf>
    <xf numFmtId="9" fontId="6" fillId="7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12" xfId="0" applyFont="1" applyFill="1" applyBorder="1" applyAlignment="1" applyProtection="1">
      <alignment horizontal="left" vertical="center"/>
      <protection locked="0"/>
    </xf>
    <xf numFmtId="10" fontId="8" fillId="8" borderId="1" xfId="0" applyNumberFormat="1" applyFont="1" applyFill="1" applyBorder="1" applyAlignment="1" applyProtection="1">
      <alignment horizontal="right" vertical="center"/>
      <protection locked="0"/>
    </xf>
    <xf numFmtId="10" fontId="0" fillId="4" borderId="1" xfId="0" applyNumberFormat="1" applyFont="1" applyFill="1" applyBorder="1" applyProtection="1">
      <protection locked="0"/>
    </xf>
    <xf numFmtId="10" fontId="8" fillId="9" borderId="1" xfId="0" applyNumberFormat="1" applyFont="1" applyFill="1" applyBorder="1" applyAlignment="1" applyProtection="1">
      <alignment horizontal="right" vertical="center"/>
      <protection locked="0"/>
    </xf>
    <xf numFmtId="165" fontId="8" fillId="8" borderId="12" xfId="0" applyNumberFormat="1" applyFont="1" applyFill="1" applyBorder="1" applyAlignment="1" applyProtection="1">
      <alignment horizontal="right" vertical="center"/>
      <protection locked="0"/>
    </xf>
    <xf numFmtId="3" fontId="8" fillId="8" borderId="12" xfId="0" applyNumberFormat="1" applyFont="1" applyFill="1" applyBorder="1" applyAlignment="1" applyProtection="1">
      <alignment horizontal="right" vertical="center"/>
      <protection locked="0"/>
    </xf>
    <xf numFmtId="3" fontId="8" fillId="8" borderId="13" xfId="0" applyNumberFormat="1" applyFont="1" applyFill="1" applyBorder="1" applyAlignment="1" applyProtection="1">
      <alignment horizontal="right" vertical="center"/>
      <protection locked="0"/>
    </xf>
    <xf numFmtId="4" fontId="10" fillId="8" borderId="12" xfId="0" applyNumberFormat="1" applyFont="1" applyFill="1" applyBorder="1" applyAlignment="1" applyProtection="1">
      <alignment horizontal="right" vertical="center"/>
      <protection locked="0"/>
    </xf>
    <xf numFmtId="9" fontId="8" fillId="8" borderId="12" xfId="0" applyNumberFormat="1" applyFont="1" applyFill="1" applyBorder="1" applyAlignment="1" applyProtection="1">
      <alignment horizontal="right" vertical="center"/>
      <protection locked="0"/>
    </xf>
    <xf numFmtId="9" fontId="8" fillId="8" borderId="1" xfId="0" applyNumberFormat="1" applyFont="1" applyFill="1" applyBorder="1" applyAlignment="1" applyProtection="1">
      <alignment horizontal="right" vertical="center"/>
      <protection locked="0"/>
    </xf>
    <xf numFmtId="9" fontId="8" fillId="8" borderId="13" xfId="0" applyNumberFormat="1" applyFont="1" applyFill="1" applyBorder="1" applyAlignment="1" applyProtection="1">
      <alignment horizontal="right" vertical="center"/>
      <protection locked="0"/>
    </xf>
    <xf numFmtId="166" fontId="8" fillId="8" borderId="12" xfId="0" applyNumberFormat="1" applyFont="1" applyFill="1" applyBorder="1" applyAlignment="1" applyProtection="1">
      <alignment horizontal="right" vertical="center"/>
      <protection locked="0"/>
    </xf>
    <xf numFmtId="166" fontId="8" fillId="8" borderId="1" xfId="0" applyNumberFormat="1" applyFont="1" applyFill="1" applyBorder="1" applyAlignment="1" applyProtection="1">
      <alignment horizontal="right" vertical="center"/>
      <protection locked="0"/>
    </xf>
    <xf numFmtId="166" fontId="8" fillId="8" borderId="13" xfId="0" applyNumberFormat="1" applyFont="1" applyFill="1" applyBorder="1" applyAlignment="1" applyProtection="1">
      <alignment horizontal="right" vertical="center"/>
      <protection locked="0"/>
    </xf>
    <xf numFmtId="168" fontId="9" fillId="7" borderId="12" xfId="0" applyNumberFormat="1" applyFont="1" applyFill="1" applyBorder="1" applyAlignment="1" applyProtection="1">
      <alignment horizontal="center"/>
      <protection locked="0"/>
    </xf>
    <xf numFmtId="168" fontId="9" fillId="7" borderId="13" xfId="0" applyNumberFormat="1" applyFont="1" applyFill="1" applyBorder="1" applyAlignment="1" applyProtection="1">
      <alignment horizontal="center"/>
      <protection locked="0"/>
    </xf>
    <xf numFmtId="0" fontId="15" fillId="18" borderId="1" xfId="309" applyFont="1" applyFill="1" applyBorder="1" applyAlignment="1" applyProtection="1">
      <alignment horizontal="center" vertical="center" wrapText="1"/>
      <protection locked="0"/>
    </xf>
    <xf numFmtId="169" fontId="8" fillId="8" borderId="1" xfId="0" applyNumberFormat="1" applyFont="1" applyFill="1" applyBorder="1" applyAlignment="1" applyProtection="1">
      <alignment horizontal="right" vertical="center"/>
      <protection locked="0"/>
    </xf>
    <xf numFmtId="169" fontId="10" fillId="8" borderId="1" xfId="0" applyNumberFormat="1" applyFont="1" applyFill="1" applyBorder="1" applyAlignment="1" applyProtection="1">
      <alignment horizontal="right" vertical="center"/>
      <protection locked="0"/>
    </xf>
    <xf numFmtId="0" fontId="0" fillId="4" borderId="0" xfId="0" applyFont="1" applyFill="1" applyProtection="1">
      <protection locked="0"/>
    </xf>
    <xf numFmtId="0" fontId="15" fillId="8" borderId="12" xfId="309" applyFont="1" applyFill="1" applyBorder="1" applyAlignment="1" applyProtection="1">
      <alignment horizontal="left" vertical="center" wrapText="1"/>
      <protection locked="0"/>
    </xf>
    <xf numFmtId="0" fontId="6" fillId="7" borderId="6" xfId="0" applyFont="1" applyFill="1" applyBorder="1" applyAlignment="1" applyProtection="1">
      <alignment horizontal="center" vertical="center" wrapText="1"/>
      <protection locked="0"/>
    </xf>
    <xf numFmtId="4" fontId="23" fillId="4" borderId="1" xfId="307" applyNumberFormat="1" applyFont="1" applyFill="1" applyBorder="1" applyProtection="1">
      <protection locked="0"/>
    </xf>
    <xf numFmtId="0" fontId="9" fillId="10" borderId="0" xfId="0" applyFont="1" applyFill="1" applyProtection="1">
      <protection locked="0"/>
    </xf>
    <xf numFmtId="2" fontId="2" fillId="4" borderId="0" xfId="308" applyNumberFormat="1" applyFont="1" applyFill="1" applyProtection="1">
      <protection locked="0"/>
    </xf>
    <xf numFmtId="10" fontId="0" fillId="4" borderId="0" xfId="0" applyNumberFormat="1" applyFont="1" applyFill="1" applyProtection="1">
      <protection locked="0"/>
    </xf>
    <xf numFmtId="0" fontId="9" fillId="4" borderId="0" xfId="0" applyFont="1" applyFill="1" applyProtection="1">
      <protection locked="0"/>
    </xf>
    <xf numFmtId="3" fontId="8" fillId="8" borderId="1" xfId="0" applyNumberFormat="1" applyFont="1" applyFill="1" applyBorder="1" applyAlignment="1" applyProtection="1">
      <alignment horizontal="right" vertical="center"/>
      <protection locked="0"/>
    </xf>
    <xf numFmtId="10" fontId="10" fillId="8" borderId="12" xfId="0" applyNumberFormat="1" applyFont="1" applyFill="1" applyBorder="1" applyAlignment="1" applyProtection="1">
      <alignment horizontal="right" vertical="center"/>
      <protection locked="0"/>
    </xf>
    <xf numFmtId="0" fontId="15" fillId="18" borderId="14" xfId="309" applyFont="1" applyFill="1" applyBorder="1" applyAlignment="1" applyProtection="1">
      <alignment horizontal="center" vertical="center" wrapText="1"/>
      <protection locked="0"/>
    </xf>
    <xf numFmtId="0" fontId="15" fillId="18" borderId="2" xfId="309" applyFont="1" applyFill="1" applyBorder="1" applyAlignment="1" applyProtection="1">
      <alignment horizontal="center" vertical="center" wrapText="1"/>
      <protection locked="0"/>
    </xf>
    <xf numFmtId="170" fontId="8" fillId="8" borderId="12" xfId="0" applyNumberFormat="1" applyFont="1" applyFill="1" applyBorder="1" applyAlignment="1" applyProtection="1">
      <alignment horizontal="right" vertical="center"/>
      <protection locked="0"/>
    </xf>
    <xf numFmtId="170" fontId="8" fillId="8" borderId="13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 applyProtection="1">
      <protection locked="0"/>
    </xf>
    <xf numFmtId="9" fontId="9" fillId="0" borderId="0" xfId="0" applyNumberFormat="1" applyFont="1" applyAlignment="1" applyProtection="1">
      <protection locked="0"/>
    </xf>
    <xf numFmtId="0" fontId="9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6" fillId="3" borderId="0" xfId="0" applyFont="1" applyFill="1" applyBorder="1" applyAlignment="1" applyProtection="1">
      <alignment horizontal="center" vertical="center" wrapText="1"/>
      <protection locked="0"/>
    </xf>
    <xf numFmtId="9" fontId="9" fillId="0" borderId="0" xfId="2" applyFont="1" applyFill="1" applyProtection="1">
      <protection locked="0"/>
    </xf>
    <xf numFmtId="43" fontId="6" fillId="11" borderId="1" xfId="0" applyNumberFormat="1" applyFont="1" applyFill="1" applyBorder="1" applyProtection="1">
      <protection locked="0"/>
    </xf>
    <xf numFmtId="0" fontId="18" fillId="20" borderId="1" xfId="0" applyFont="1" applyFill="1" applyBorder="1"/>
    <xf numFmtId="0" fontId="18" fillId="21" borderId="1" xfId="0" applyFont="1" applyFill="1" applyBorder="1"/>
    <xf numFmtId="0" fontId="18" fillId="21" borderId="1" xfId="0" applyFont="1" applyFill="1" applyBorder="1" applyAlignment="1">
      <alignment horizontal="left"/>
    </xf>
    <xf numFmtId="0" fontId="18" fillId="21" borderId="1" xfId="0" applyNumberFormat="1" applyFont="1" applyFill="1" applyBorder="1"/>
    <xf numFmtId="0" fontId="0" fillId="15" borderId="1" xfId="0" applyFill="1" applyBorder="1" applyAlignment="1">
      <alignment horizontal="center" vertical="center" textRotation="90" wrapText="1"/>
    </xf>
    <xf numFmtId="0" fontId="0" fillId="5" borderId="1" xfId="0" applyFill="1" applyBorder="1" applyAlignment="1">
      <alignment horizontal="center" vertical="center" textRotation="90" wrapText="1"/>
    </xf>
    <xf numFmtId="0" fontId="0" fillId="16" borderId="1" xfId="0" applyFill="1" applyBorder="1" applyAlignment="1">
      <alignment horizontal="center" vertical="center" textRotation="90" wrapText="1"/>
    </xf>
    <xf numFmtId="0" fontId="18" fillId="17" borderId="1" xfId="0" applyFont="1" applyFill="1" applyBorder="1" applyAlignment="1">
      <alignment horizontal="center" vertical="center" textRotation="90" wrapText="1"/>
    </xf>
    <xf numFmtId="0" fontId="0" fillId="21" borderId="1" xfId="0" applyFill="1" applyBorder="1"/>
    <xf numFmtId="0" fontId="26" fillId="21" borderId="1" xfId="0" applyFont="1" applyFill="1" applyBorder="1" applyAlignment="1">
      <alignment horizontal="center" wrapText="1"/>
    </xf>
    <xf numFmtId="4" fontId="8" fillId="8" borderId="1" xfId="0" applyNumberFormat="1" applyFont="1" applyFill="1" applyBorder="1" applyAlignment="1" applyProtection="1">
      <alignment horizontal="right" vertical="center"/>
      <protection hidden="1"/>
    </xf>
    <xf numFmtId="9" fontId="8" fillId="8" borderId="1" xfId="2" applyFont="1" applyFill="1" applyBorder="1" applyAlignment="1" applyProtection="1">
      <alignment horizontal="right" vertical="center"/>
      <protection hidden="1"/>
    </xf>
    <xf numFmtId="4" fontId="8" fillId="8" borderId="8" xfId="0" applyNumberFormat="1" applyFont="1" applyFill="1" applyBorder="1" applyAlignment="1" applyProtection="1">
      <alignment horizontal="right" vertical="center"/>
      <protection hidden="1"/>
    </xf>
    <xf numFmtId="4" fontId="8" fillId="22" borderId="1" xfId="0" applyNumberFormat="1" applyFont="1" applyFill="1" applyBorder="1" applyAlignment="1" applyProtection="1">
      <alignment horizontal="right" vertical="center"/>
      <protection hidden="1"/>
    </xf>
    <xf numFmtId="2" fontId="9" fillId="7" borderId="10" xfId="0" applyNumberFormat="1" applyFont="1" applyFill="1" applyBorder="1" applyAlignment="1" applyProtection="1">
      <alignment horizontal="center" vertical="center" wrapText="1"/>
      <protection hidden="1"/>
    </xf>
    <xf numFmtId="2" fontId="9" fillId="7" borderId="1" xfId="0" applyNumberFormat="1" applyFont="1" applyFill="1" applyBorder="1" applyAlignment="1" applyProtection="1">
      <alignment horizontal="center" vertical="center" wrapText="1"/>
      <protection hidden="1"/>
    </xf>
    <xf numFmtId="9" fontId="9" fillId="7" borderId="1" xfId="2" applyFont="1" applyFill="1" applyBorder="1" applyAlignment="1" applyProtection="1">
      <alignment horizontal="center" vertical="center" wrapText="1"/>
      <protection hidden="1"/>
    </xf>
    <xf numFmtId="43" fontId="9" fillId="0" borderId="1" xfId="1" applyFont="1" applyFill="1" applyBorder="1" applyProtection="1">
      <protection hidden="1"/>
    </xf>
    <xf numFmtId="0" fontId="9" fillId="0" borderId="0" xfId="0" applyFont="1" applyFill="1" applyProtection="1">
      <protection hidden="1"/>
    </xf>
    <xf numFmtId="4" fontId="8" fillId="8" borderId="12" xfId="0" applyNumberFormat="1" applyFont="1" applyFill="1" applyBorder="1" applyAlignment="1" applyProtection="1">
      <alignment horizontal="right" vertical="center"/>
      <protection hidden="1"/>
    </xf>
    <xf numFmtId="2" fontId="9" fillId="7" borderId="8" xfId="0" applyNumberFormat="1" applyFont="1" applyFill="1" applyBorder="1" applyAlignment="1" applyProtection="1">
      <alignment horizontal="center" vertical="center" wrapText="1"/>
      <protection hidden="1"/>
    </xf>
    <xf numFmtId="10" fontId="8" fillId="8" borderId="12" xfId="0" applyNumberFormat="1" applyFont="1" applyFill="1" applyBorder="1" applyAlignment="1" applyProtection="1">
      <alignment horizontal="right" vertical="center"/>
      <protection hidden="1"/>
    </xf>
    <xf numFmtId="171" fontId="8" fillId="22" borderId="1" xfId="2" applyNumberFormat="1" applyFont="1" applyFill="1" applyBorder="1" applyAlignment="1" applyProtection="1">
      <alignment horizontal="right" vertical="center"/>
      <protection hidden="1"/>
    </xf>
    <xf numFmtId="2" fontId="9" fillId="4" borderId="10" xfId="0" applyNumberFormat="1" applyFont="1" applyFill="1" applyBorder="1" applyAlignment="1" applyProtection="1">
      <alignment horizontal="center" vertical="center" wrapText="1"/>
      <protection hidden="1"/>
    </xf>
    <xf numFmtId="164" fontId="8" fillId="8" borderId="12" xfId="0" applyNumberFormat="1" applyFont="1" applyFill="1" applyBorder="1" applyAlignment="1" applyProtection="1">
      <alignment horizontal="right" vertical="center"/>
      <protection hidden="1"/>
    </xf>
    <xf numFmtId="10" fontId="8" fillId="22" borderId="1" xfId="2" applyNumberFormat="1" applyFont="1" applyFill="1" applyBorder="1" applyAlignment="1" applyProtection="1">
      <alignment horizontal="right" vertical="center"/>
      <protection hidden="1"/>
    </xf>
    <xf numFmtId="9" fontId="8" fillId="8" borderId="12" xfId="0" applyNumberFormat="1" applyFont="1" applyFill="1" applyBorder="1" applyAlignment="1" applyProtection="1">
      <alignment horizontal="right" vertical="center"/>
      <protection hidden="1"/>
    </xf>
    <xf numFmtId="3" fontId="8" fillId="8" borderId="12" xfId="0" applyNumberFormat="1" applyFont="1" applyFill="1" applyBorder="1" applyAlignment="1" applyProtection="1">
      <alignment horizontal="right" vertical="center"/>
      <protection hidden="1"/>
    </xf>
    <xf numFmtId="167" fontId="8" fillId="8" borderId="12" xfId="1" applyNumberFormat="1" applyFont="1" applyFill="1" applyBorder="1" applyAlignment="1" applyProtection="1">
      <alignment horizontal="right" vertical="center"/>
      <protection hidden="1"/>
    </xf>
    <xf numFmtId="166" fontId="8" fillId="8" borderId="12" xfId="0" applyNumberFormat="1" applyFont="1" applyFill="1" applyBorder="1" applyAlignment="1" applyProtection="1">
      <alignment horizontal="right" vertical="center"/>
      <protection hidden="1"/>
    </xf>
    <xf numFmtId="165" fontId="8" fillId="8" borderId="12" xfId="0" applyNumberFormat="1" applyFont="1" applyFill="1" applyBorder="1" applyAlignment="1" applyProtection="1">
      <alignment horizontal="right" vertical="center"/>
      <protection hidden="1"/>
    </xf>
    <xf numFmtId="9" fontId="8" fillId="22" borderId="1" xfId="2" applyFont="1" applyFill="1" applyBorder="1" applyAlignment="1" applyProtection="1">
      <alignment horizontal="right" vertical="center"/>
      <protection hidden="1"/>
    </xf>
    <xf numFmtId="3" fontId="8" fillId="8" borderId="1" xfId="0" applyNumberFormat="1" applyFont="1" applyFill="1" applyBorder="1" applyAlignment="1" applyProtection="1">
      <alignment horizontal="right" vertical="center"/>
      <protection hidden="1"/>
    </xf>
    <xf numFmtId="170" fontId="8" fillId="22" borderId="1" xfId="0" applyNumberFormat="1" applyFont="1" applyFill="1" applyBorder="1" applyAlignment="1" applyProtection="1">
      <alignment horizontal="right" vertical="center"/>
      <protection hidden="1"/>
    </xf>
    <xf numFmtId="0" fontId="26" fillId="21" borderId="1" xfId="0" applyFont="1" applyFill="1" applyBorder="1" applyAlignment="1">
      <alignment wrapText="1"/>
    </xf>
    <xf numFmtId="0" fontId="0" fillId="24" borderId="0" xfId="0" applyFont="1" applyFill="1" applyBorder="1"/>
    <xf numFmtId="0" fontId="20" fillId="24" borderId="0" xfId="0" applyFont="1" applyFill="1" applyBorder="1" applyAlignment="1">
      <alignment horizontal="center"/>
    </xf>
    <xf numFmtId="0" fontId="4" fillId="24" borderId="0" xfId="0" applyFont="1" applyFill="1" applyBorder="1"/>
    <xf numFmtId="0" fontId="35" fillId="0" borderId="15" xfId="0" applyFont="1" applyBorder="1" applyAlignment="1">
      <alignment horizontal="center" wrapText="1"/>
    </xf>
    <xf numFmtId="0" fontId="35" fillId="0" borderId="16" xfId="0" applyFont="1" applyBorder="1" applyAlignment="1">
      <alignment horizontal="center" wrapText="1"/>
    </xf>
    <xf numFmtId="0" fontId="0" fillId="0" borderId="15" xfId="0" applyBorder="1"/>
    <xf numFmtId="0" fontId="4" fillId="12" borderId="16" xfId="0" applyFont="1" applyFill="1" applyBorder="1"/>
    <xf numFmtId="9" fontId="4" fillId="12" borderId="16" xfId="2" applyFont="1" applyFill="1" applyBorder="1"/>
    <xf numFmtId="0" fontId="0" fillId="0" borderId="16" xfId="0" applyBorder="1"/>
    <xf numFmtId="0" fontId="17" fillId="7" borderId="16" xfId="0" applyFont="1" applyFill="1" applyBorder="1" applyAlignment="1">
      <alignment horizontal="center" vertical="center" wrapText="1"/>
    </xf>
    <xf numFmtId="9" fontId="0" fillId="0" borderId="16" xfId="2" applyFont="1" applyBorder="1"/>
    <xf numFmtId="0" fontId="17" fillId="12" borderId="16" xfId="0" applyFont="1" applyFill="1" applyBorder="1" applyAlignment="1">
      <alignment horizontal="center" vertical="center" wrapText="1"/>
    </xf>
    <xf numFmtId="9" fontId="0" fillId="12" borderId="16" xfId="2" applyFont="1" applyFill="1" applyBorder="1"/>
    <xf numFmtId="0" fontId="34" fillId="0" borderId="16" xfId="0" applyFont="1" applyBorder="1"/>
    <xf numFmtId="0" fontId="0" fillId="0" borderId="17" xfId="0" applyBorder="1"/>
    <xf numFmtId="0" fontId="35" fillId="0" borderId="18" xfId="0" applyFont="1" applyBorder="1" applyAlignment="1">
      <alignment horizontal="center" wrapText="1"/>
    </xf>
    <xf numFmtId="0" fontId="36" fillId="0" borderId="18" xfId="0" applyFont="1" applyBorder="1" applyAlignment="1">
      <alignment horizontal="center" wrapText="1"/>
    </xf>
    <xf numFmtId="0" fontId="34" fillId="0" borderId="19" xfId="0" applyFont="1" applyBorder="1"/>
    <xf numFmtId="0" fontId="33" fillId="0" borderId="19" xfId="0" applyFont="1" applyBorder="1"/>
    <xf numFmtId="0" fontId="0" fillId="0" borderId="21" xfId="0" applyBorder="1"/>
    <xf numFmtId="173" fontId="0" fillId="0" borderId="21" xfId="0" applyNumberFormat="1" applyBorder="1"/>
    <xf numFmtId="0" fontId="0" fillId="0" borderId="20" xfId="0" applyBorder="1"/>
    <xf numFmtId="0" fontId="4" fillId="14" borderId="20" xfId="0" applyFont="1" applyFill="1" applyBorder="1"/>
    <xf numFmtId="0" fontId="0" fillId="15" borderId="20" xfId="0" applyFill="1" applyBorder="1" applyAlignment="1">
      <alignment horizontal="center" vertical="center" textRotation="90" wrapText="1"/>
    </xf>
    <xf numFmtId="172" fontId="0" fillId="0" borderId="20" xfId="1" applyNumberFormat="1" applyFont="1" applyBorder="1"/>
    <xf numFmtId="0" fontId="0" fillId="5" borderId="20" xfId="0" applyFill="1" applyBorder="1" applyAlignment="1">
      <alignment horizontal="center" vertical="center" textRotation="90" wrapText="1"/>
    </xf>
    <xf numFmtId="0" fontId="0" fillId="16" borderId="20" xfId="0" applyFill="1" applyBorder="1" applyAlignment="1">
      <alignment horizontal="center" vertical="center" textRotation="90" wrapText="1"/>
    </xf>
    <xf numFmtId="0" fontId="18" fillId="17" borderId="20" xfId="0" applyFont="1" applyFill="1" applyBorder="1" applyAlignment="1">
      <alignment horizontal="center" vertical="center" textRotation="90" wrapText="1"/>
    </xf>
    <xf numFmtId="0" fontId="0" fillId="0" borderId="22" xfId="0" applyBorder="1"/>
    <xf numFmtId="0" fontId="28" fillId="0" borderId="23" xfId="0" applyFont="1" applyBorder="1"/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wrapText="1"/>
    </xf>
    <xf numFmtId="0" fontId="37" fillId="7" borderId="16" xfId="0" applyFont="1" applyFill="1" applyBorder="1" applyAlignment="1">
      <alignment horizontal="center" wrapText="1"/>
    </xf>
    <xf numFmtId="0" fontId="26" fillId="21" borderId="16" xfId="0" applyFont="1" applyFill="1" applyBorder="1" applyAlignment="1">
      <alignment horizontal="center" vertical="center" wrapText="1"/>
    </xf>
    <xf numFmtId="0" fontId="26" fillId="21" borderId="16" xfId="0" applyFont="1" applyFill="1" applyBorder="1" applyAlignment="1">
      <alignment horizontal="center" wrapText="1"/>
    </xf>
    <xf numFmtId="4" fontId="26" fillId="21" borderId="16" xfId="0" applyNumberFormat="1" applyFont="1" applyFill="1" applyBorder="1" applyAlignment="1">
      <alignment horizontal="center" wrapText="1"/>
    </xf>
    <xf numFmtId="0" fontId="4" fillId="19" borderId="16" xfId="0" applyFont="1" applyFill="1" applyBorder="1" applyAlignment="1">
      <alignment horizontal="center" vertical="center" wrapText="1"/>
    </xf>
    <xf numFmtId="0" fontId="0" fillId="19" borderId="16" xfId="0" applyFill="1" applyBorder="1" applyAlignment="1">
      <alignment wrapText="1"/>
    </xf>
    <xf numFmtId="4" fontId="8" fillId="23" borderId="16" xfId="0" applyNumberFormat="1" applyFont="1" applyFill="1" applyBorder="1" applyAlignment="1" applyProtection="1">
      <alignment horizontal="right" vertical="center"/>
      <protection locked="0"/>
    </xf>
    <xf numFmtId="0" fontId="0" fillId="19" borderId="16" xfId="0" applyFill="1" applyBorder="1"/>
    <xf numFmtId="10" fontId="8" fillId="23" borderId="16" xfId="0" applyNumberFormat="1" applyFont="1" applyFill="1" applyBorder="1" applyAlignment="1" applyProtection="1">
      <alignment horizontal="right" vertical="center"/>
      <protection locked="0"/>
    </xf>
    <xf numFmtId="0" fontId="4" fillId="0" borderId="16" xfId="0" applyFont="1" applyBorder="1" applyAlignment="1">
      <alignment horizontal="center" vertical="center" wrapText="1"/>
    </xf>
    <xf numFmtId="4" fontId="8" fillId="8" borderId="16" xfId="0" applyNumberFormat="1" applyFont="1" applyFill="1" applyBorder="1" applyAlignment="1" applyProtection="1">
      <alignment horizontal="right" vertical="center"/>
      <protection locked="0"/>
    </xf>
    <xf numFmtId="3" fontId="8" fillId="8" borderId="16" xfId="0" applyNumberFormat="1" applyFont="1" applyFill="1" applyBorder="1" applyAlignment="1" applyProtection="1">
      <alignment horizontal="right" vertical="center"/>
      <protection locked="0"/>
    </xf>
    <xf numFmtId="10" fontId="8" fillId="8" borderId="16" xfId="0" applyNumberFormat="1" applyFont="1" applyFill="1" applyBorder="1" applyAlignment="1" applyProtection="1">
      <alignment horizontal="right" vertical="center"/>
      <protection locked="0"/>
    </xf>
    <xf numFmtId="10" fontId="27" fillId="19" borderId="16" xfId="0" applyNumberFormat="1" applyFont="1" applyFill="1" applyBorder="1" applyProtection="1">
      <protection locked="0"/>
    </xf>
    <xf numFmtId="44" fontId="8" fillId="23" borderId="16" xfId="509" applyFont="1" applyFill="1" applyBorder="1" applyAlignment="1" applyProtection="1">
      <alignment horizontal="right" vertical="center"/>
      <protection locked="0"/>
    </xf>
    <xf numFmtId="3" fontId="8" fillId="23" borderId="16" xfId="0" applyNumberFormat="1" applyFont="1" applyFill="1" applyBorder="1" applyAlignment="1" applyProtection="1">
      <alignment horizontal="right" vertical="center"/>
      <protection locked="0"/>
    </xf>
    <xf numFmtId="9" fontId="8" fillId="23" borderId="16" xfId="0" applyNumberFormat="1" applyFont="1" applyFill="1" applyBorder="1" applyAlignment="1" applyProtection="1">
      <alignment horizontal="right" vertical="center"/>
      <protection locked="0"/>
    </xf>
    <xf numFmtId="166" fontId="8" fillId="23" borderId="16" xfId="0" applyNumberFormat="1" applyFont="1" applyFill="1" applyBorder="1" applyAlignment="1" applyProtection="1">
      <alignment horizontal="right" vertical="center"/>
      <protection locked="0"/>
    </xf>
    <xf numFmtId="175" fontId="8" fillId="23" borderId="16" xfId="509" applyNumberFormat="1" applyFont="1" applyFill="1" applyBorder="1" applyAlignment="1" applyProtection="1">
      <alignment horizontal="right" vertical="center"/>
      <protection locked="0"/>
    </xf>
    <xf numFmtId="1" fontId="23" fillId="19" borderId="16" xfId="0" applyNumberFormat="1" applyFont="1" applyFill="1" applyBorder="1" applyAlignment="1" applyProtection="1">
      <alignment horizontal="right"/>
      <protection locked="0"/>
    </xf>
    <xf numFmtId="44" fontId="27" fillId="7" borderId="16" xfId="509" applyFont="1" applyFill="1" applyBorder="1" applyProtection="1">
      <protection locked="0"/>
    </xf>
    <xf numFmtId="176" fontId="8" fillId="8" borderId="16" xfId="509" applyNumberFormat="1" applyFont="1" applyFill="1" applyBorder="1" applyAlignment="1" applyProtection="1">
      <alignment horizontal="right" vertical="center"/>
      <protection locked="0"/>
    </xf>
    <xf numFmtId="176" fontId="23" fillId="19" borderId="16" xfId="509" applyNumberFormat="1" applyFont="1" applyFill="1" applyBorder="1" applyProtection="1">
      <protection locked="0"/>
    </xf>
    <xf numFmtId="44" fontId="27" fillId="19" borderId="16" xfId="509" applyFont="1" applyFill="1" applyBorder="1" applyProtection="1">
      <protection locked="0"/>
    </xf>
    <xf numFmtId="10" fontId="27" fillId="7" borderId="16" xfId="0" applyNumberFormat="1" applyFont="1" applyFill="1" applyBorder="1" applyProtection="1">
      <protection locked="0"/>
    </xf>
    <xf numFmtId="170" fontId="8" fillId="8" borderId="16" xfId="0" applyNumberFormat="1" applyFont="1" applyFill="1" applyBorder="1" applyAlignment="1" applyProtection="1">
      <alignment horizontal="right" vertical="center"/>
      <protection locked="0"/>
    </xf>
    <xf numFmtId="0" fontId="4" fillId="0" borderId="16" xfId="0" applyFont="1" applyBorder="1" applyAlignment="1">
      <alignment wrapText="1"/>
    </xf>
    <xf numFmtId="0" fontId="0" fillId="7" borderId="0" xfId="0" applyFill="1" applyBorder="1"/>
    <xf numFmtId="0" fontId="38" fillId="7" borderId="0" xfId="0" applyFont="1" applyFill="1" applyBorder="1"/>
    <xf numFmtId="0" fontId="15" fillId="7" borderId="0" xfId="309" quotePrefix="1" applyFill="1" applyBorder="1" applyAlignment="1">
      <alignment horizontal="left" indent="2"/>
    </xf>
    <xf numFmtId="0" fontId="39" fillId="25" borderId="0" xfId="309" applyFont="1" applyFill="1" applyAlignment="1">
      <alignment horizontal="center"/>
    </xf>
    <xf numFmtId="0" fontId="0" fillId="26" borderId="0" xfId="0" applyFill="1" applyBorder="1"/>
    <xf numFmtId="0" fontId="39" fillId="26" borderId="0" xfId="309" applyFont="1" applyFill="1" applyBorder="1" applyAlignment="1">
      <alignment horizontal="center"/>
    </xf>
    <xf numFmtId="0" fontId="30" fillId="26" borderId="0" xfId="0" applyFont="1" applyFill="1" applyBorder="1" applyAlignment="1"/>
    <xf numFmtId="0" fontId="30" fillId="26" borderId="0" xfId="0" applyFont="1" applyFill="1" applyBorder="1" applyAlignment="1">
      <alignment horizontal="center"/>
    </xf>
    <xf numFmtId="0" fontId="30" fillId="26" borderId="0" xfId="0" applyFont="1" applyFill="1" applyBorder="1"/>
    <xf numFmtId="0" fontId="31" fillId="26" borderId="0" xfId="0" applyFont="1" applyFill="1" applyBorder="1"/>
    <xf numFmtId="0" fontId="32" fillId="26" borderId="0" xfId="0" applyFont="1" applyFill="1" applyBorder="1"/>
    <xf numFmtId="0" fontId="0" fillId="26" borderId="1" xfId="0" applyFill="1" applyBorder="1"/>
    <xf numFmtId="172" fontId="0" fillId="26" borderId="1" xfId="1" applyNumberFormat="1" applyFont="1" applyFill="1" applyBorder="1"/>
    <xf numFmtId="174" fontId="0" fillId="26" borderId="1" xfId="0" applyNumberFormat="1" applyFill="1" applyBorder="1"/>
    <xf numFmtId="167" fontId="0" fillId="26" borderId="0" xfId="1" applyNumberFormat="1" applyFont="1" applyFill="1" applyBorder="1"/>
    <xf numFmtId="0" fontId="22" fillId="26" borderId="0" xfId="0" applyFont="1" applyFill="1" applyBorder="1"/>
    <xf numFmtId="0" fontId="29" fillId="26" borderId="0" xfId="0" applyFont="1" applyFill="1" applyBorder="1" applyAlignment="1">
      <alignment horizontal="left" wrapText="1"/>
    </xf>
    <xf numFmtId="0" fontId="26" fillId="27" borderId="1" xfId="0" applyFont="1" applyFill="1" applyBorder="1" applyAlignment="1">
      <alignment horizontal="center"/>
    </xf>
    <xf numFmtId="0" fontId="26" fillId="27" borderId="1" xfId="0" applyFont="1" applyFill="1" applyBorder="1" applyAlignment="1">
      <alignment horizontal="center" wrapText="1"/>
    </xf>
    <xf numFmtId="0" fontId="0" fillId="7" borderId="0" xfId="0" applyFill="1"/>
    <xf numFmtId="0" fontId="29" fillId="7" borderId="0" xfId="0" applyFont="1" applyFill="1" applyAlignment="1">
      <alignment horizontal="left" wrapText="1"/>
    </xf>
    <xf numFmtId="0" fontId="20" fillId="7" borderId="0" xfId="0" applyFont="1" applyFill="1"/>
    <xf numFmtId="0" fontId="25" fillId="7" borderId="1" xfId="0" applyFont="1" applyFill="1" applyBorder="1"/>
    <xf numFmtId="43" fontId="0" fillId="7" borderId="1" xfId="1" applyFont="1" applyFill="1" applyBorder="1"/>
    <xf numFmtId="172" fontId="0" fillId="7" borderId="1" xfId="1" applyNumberFormat="1" applyFont="1" applyFill="1" applyBorder="1"/>
    <xf numFmtId="0" fontId="39" fillId="21" borderId="0" xfId="309" applyFont="1" applyFill="1" applyAlignment="1">
      <alignment horizontal="center"/>
    </xf>
    <xf numFmtId="0" fontId="25" fillId="11" borderId="1" xfId="0" applyFont="1" applyFill="1" applyBorder="1"/>
    <xf numFmtId="0" fontId="20" fillId="7" borderId="0" xfId="0" applyFont="1" applyFill="1" applyAlignment="1">
      <alignment horizontal="center"/>
    </xf>
    <xf numFmtId="0" fontId="20" fillId="7" borderId="0" xfId="0" applyFont="1" applyFill="1" applyAlignment="1">
      <alignment horizontal="center"/>
    </xf>
    <xf numFmtId="0" fontId="21" fillId="7" borderId="0" xfId="0" applyFont="1" applyFill="1" applyAlignment="1">
      <alignment horizontal="center"/>
    </xf>
    <xf numFmtId="0" fontId="40" fillId="7" borderId="0" xfId="309" applyFont="1" applyFill="1" applyAlignment="1">
      <alignment horizontal="center"/>
    </xf>
    <xf numFmtId="0" fontId="0" fillId="7" borderId="1" xfId="0" applyFill="1" applyBorder="1" applyAlignment="1">
      <alignment wrapText="1"/>
    </xf>
    <xf numFmtId="0" fontId="0" fillId="7" borderId="0" xfId="0" applyFill="1" applyAlignment="1">
      <alignment wrapText="1"/>
    </xf>
    <xf numFmtId="0" fontId="41" fillId="28" borderId="1" xfId="0" applyFont="1" applyFill="1" applyBorder="1" applyAlignment="1">
      <alignment horizontal="center"/>
    </xf>
    <xf numFmtId="0" fontId="42" fillId="26" borderId="0" xfId="0" applyFont="1" applyFill="1" applyBorder="1"/>
    <xf numFmtId="0" fontId="43" fillId="26" borderId="0" xfId="0" applyFont="1" applyFill="1" applyBorder="1" applyAlignment="1">
      <alignment horizontal="right"/>
    </xf>
    <xf numFmtId="0" fontId="15" fillId="7" borderId="0" xfId="309" applyFill="1" applyBorder="1" applyAlignment="1">
      <alignment horizontal="left" indent="2"/>
    </xf>
    <xf numFmtId="0" fontId="15" fillId="0" borderId="0" xfId="309" applyAlignment="1">
      <alignment horizontal="left" indent="2"/>
    </xf>
    <xf numFmtId="0" fontId="37" fillId="7" borderId="0" xfId="0" applyFont="1" applyFill="1" applyBorder="1" applyAlignment="1">
      <alignment horizontal="center"/>
    </xf>
    <xf numFmtId="0" fontId="39" fillId="29" borderId="0" xfId="309" applyFont="1" applyFill="1" applyAlignment="1">
      <alignment horizontal="center"/>
    </xf>
  </cellXfs>
  <cellStyles count="539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9" builtinId="8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10" builtinId="9" hidden="1"/>
    <cellStyle name="Hipervínculo visitado" xfId="311" builtinId="9" hidden="1"/>
    <cellStyle name="Hipervínculo visitado" xfId="312" builtinId="9" hidden="1"/>
    <cellStyle name="Hipervínculo visitado" xfId="313" builtinId="9" hidden="1"/>
    <cellStyle name="Hipervínculo visitado" xfId="314" builtinId="9" hidden="1"/>
    <cellStyle name="Hipervínculo visitado" xfId="315" builtinId="9" hidden="1"/>
    <cellStyle name="Hipervínculo visitado" xfId="316" builtinId="9" hidden="1"/>
    <cellStyle name="Hipervínculo visitado" xfId="317" builtinId="9" hidden="1"/>
    <cellStyle name="Hipervínculo visitado" xfId="318" builtinId="9" hidden="1"/>
    <cellStyle name="Hipervínculo visitado" xfId="319" builtinId="9" hidden="1"/>
    <cellStyle name="Hipervínculo visitado" xfId="320" builtinId="9" hidden="1"/>
    <cellStyle name="Hipervínculo visitado" xfId="321" builtinId="9" hidden="1"/>
    <cellStyle name="Hipervínculo visitado" xfId="322" builtinId="9" hidden="1"/>
    <cellStyle name="Hipervínculo visitado" xfId="323" builtinId="9" hidden="1"/>
    <cellStyle name="Hipervínculo visitado" xfId="324" builtinId="9" hidden="1"/>
    <cellStyle name="Hipervínculo visitado" xfId="325" builtinId="9" hidden="1"/>
    <cellStyle name="Hipervínculo visitado" xfId="326" builtinId="9" hidden="1"/>
    <cellStyle name="Hipervínculo visitado" xfId="327" builtinId="9" hidden="1"/>
    <cellStyle name="Hipervínculo visitado" xfId="328" builtinId="9" hidden="1"/>
    <cellStyle name="Hipervínculo visitado" xfId="329" builtinId="9" hidden="1"/>
    <cellStyle name="Hipervínculo visitado" xfId="330" builtinId="9" hidden="1"/>
    <cellStyle name="Hipervínculo visitado" xfId="331" builtinId="9" hidden="1"/>
    <cellStyle name="Hipervínculo visitado" xfId="332" builtinId="9" hidden="1"/>
    <cellStyle name="Hipervínculo visitado" xfId="333" builtinId="9" hidden="1"/>
    <cellStyle name="Hipervínculo visitado" xfId="334" builtinId="9" hidden="1"/>
    <cellStyle name="Hipervínculo visitado" xfId="335" builtinId="9" hidden="1"/>
    <cellStyle name="Hipervínculo visitado" xfId="336" builtinId="9" hidden="1"/>
    <cellStyle name="Hipervínculo visitado" xfId="337" builtinId="9" hidden="1"/>
    <cellStyle name="Hipervínculo visitado" xfId="338" builtinId="9" hidden="1"/>
    <cellStyle name="Hipervínculo visitado" xfId="339" builtinId="9" hidden="1"/>
    <cellStyle name="Hipervínculo visitado" xfId="340" builtinId="9" hidden="1"/>
    <cellStyle name="Hipervínculo visitado" xfId="341" builtinId="9" hidden="1"/>
    <cellStyle name="Hipervínculo visitado" xfId="342" builtinId="9" hidden="1"/>
    <cellStyle name="Hipervínculo visitado" xfId="343" builtinId="9" hidden="1"/>
    <cellStyle name="Hipervínculo visitado" xfId="344" builtinId="9" hidden="1"/>
    <cellStyle name="Hipervínculo visitado" xfId="345" builtinId="9" hidden="1"/>
    <cellStyle name="Hipervínculo visitado" xfId="346" builtinId="9" hidden="1"/>
    <cellStyle name="Hipervínculo visitado" xfId="347" builtinId="9" hidden="1"/>
    <cellStyle name="Hipervínculo visitado" xfId="348" builtinId="9" hidden="1"/>
    <cellStyle name="Hipervínculo visitado" xfId="349" builtinId="9" hidden="1"/>
    <cellStyle name="Hipervínculo visitado" xfId="350" builtinId="9" hidden="1"/>
    <cellStyle name="Hipervínculo visitado" xfId="351" builtinId="9" hidden="1"/>
    <cellStyle name="Hipervínculo visitado" xfId="352" builtinId="9" hidden="1"/>
    <cellStyle name="Hipervínculo visitado" xfId="353" builtinId="9" hidden="1"/>
    <cellStyle name="Hipervínculo visitado" xfId="354" builtinId="9" hidden="1"/>
    <cellStyle name="Hipervínculo visitado" xfId="355" builtinId="9" hidden="1"/>
    <cellStyle name="Hipervínculo visitado" xfId="356" builtinId="9" hidden="1"/>
    <cellStyle name="Hipervínculo visitado" xfId="357" builtinId="9" hidden="1"/>
    <cellStyle name="Hipervínculo visitado" xfId="358" builtinId="9" hidden="1"/>
    <cellStyle name="Hipervínculo visitado" xfId="359" builtinId="9" hidden="1"/>
    <cellStyle name="Hipervínculo visitado" xfId="360" builtinId="9" hidden="1"/>
    <cellStyle name="Hipervínculo visitado" xfId="361" builtinId="9" hidden="1"/>
    <cellStyle name="Hipervínculo visitado" xfId="362" builtinId="9" hidden="1"/>
    <cellStyle name="Hipervínculo visitado" xfId="363" builtinId="9" hidden="1"/>
    <cellStyle name="Hipervínculo visitado" xfId="364" builtinId="9" hidden="1"/>
    <cellStyle name="Hipervínculo visitado" xfId="365" builtinId="9" hidden="1"/>
    <cellStyle name="Hipervínculo visitado" xfId="366" builtinId="9" hidden="1"/>
    <cellStyle name="Hipervínculo visitado" xfId="367" builtinId="9" hidden="1"/>
    <cellStyle name="Hipervínculo visitado" xfId="368" builtinId="9" hidden="1"/>
    <cellStyle name="Hipervínculo visitado" xfId="369" builtinId="9" hidden="1"/>
    <cellStyle name="Hipervínculo visitado" xfId="370" builtinId="9" hidden="1"/>
    <cellStyle name="Hipervínculo visitado" xfId="371" builtinId="9" hidden="1"/>
    <cellStyle name="Hipervínculo visitado" xfId="372" builtinId="9" hidden="1"/>
    <cellStyle name="Hipervínculo visitado" xfId="373" builtinId="9" hidden="1"/>
    <cellStyle name="Hipervínculo visitado" xfId="374" builtinId="9" hidden="1"/>
    <cellStyle name="Hipervínculo visitado" xfId="375" builtinId="9" hidden="1"/>
    <cellStyle name="Hipervínculo visitado" xfId="376" builtinId="9" hidden="1"/>
    <cellStyle name="Hipervínculo visitado" xfId="377" builtinId="9" hidden="1"/>
    <cellStyle name="Hipervínculo visitado" xfId="378" builtinId="9" hidden="1"/>
    <cellStyle name="Hipervínculo visitado" xfId="379" builtinId="9" hidden="1"/>
    <cellStyle name="Hipervínculo visitado" xfId="380" builtinId="9" hidden="1"/>
    <cellStyle name="Hipervínculo visitado" xfId="381" builtinId="9" hidden="1"/>
    <cellStyle name="Hipervínculo visitado" xfId="382" builtinId="9" hidden="1"/>
    <cellStyle name="Hipervínculo visitado" xfId="383" builtinId="9" hidden="1"/>
    <cellStyle name="Hipervínculo visitado" xfId="384" builtinId="9" hidden="1"/>
    <cellStyle name="Hipervínculo visitado" xfId="385" builtinId="9" hidden="1"/>
    <cellStyle name="Hipervínculo visitado" xfId="386" builtinId="9" hidden="1"/>
    <cellStyle name="Hipervínculo visitado" xfId="387" builtinId="9" hidden="1"/>
    <cellStyle name="Hipervínculo visitado" xfId="388" builtinId="9" hidden="1"/>
    <cellStyle name="Hipervínculo visitado" xfId="389" builtinId="9" hidden="1"/>
    <cellStyle name="Hipervínculo visitado" xfId="390" builtinId="9" hidden="1"/>
    <cellStyle name="Hipervínculo visitado" xfId="391" builtinId="9" hidden="1"/>
    <cellStyle name="Hipervínculo visitado" xfId="392" builtinId="9" hidden="1"/>
    <cellStyle name="Hipervínculo visitado" xfId="393" builtinId="9" hidden="1"/>
    <cellStyle name="Hipervínculo visitado" xfId="394" builtinId="9" hidden="1"/>
    <cellStyle name="Hipervínculo visitado" xfId="395" builtinId="9" hidden="1"/>
    <cellStyle name="Hipervínculo visitado" xfId="396" builtinId="9" hidden="1"/>
    <cellStyle name="Hipervínculo visitado" xfId="397" builtinId="9" hidden="1"/>
    <cellStyle name="Hipervínculo visitado" xfId="398" builtinId="9" hidden="1"/>
    <cellStyle name="Hipervínculo visitado" xfId="399" builtinId="9" hidden="1"/>
    <cellStyle name="Hipervínculo visitado" xfId="400" builtinId="9" hidden="1"/>
    <cellStyle name="Hipervínculo visitado" xfId="401" builtinId="9" hidden="1"/>
    <cellStyle name="Hipervínculo visitado" xfId="402" builtinId="9" hidden="1"/>
    <cellStyle name="Hipervínculo visitado" xfId="403" builtinId="9" hidden="1"/>
    <cellStyle name="Hipervínculo visitado" xfId="404" builtinId="9" hidden="1"/>
    <cellStyle name="Hipervínculo visitado" xfId="405" builtinId="9" hidden="1"/>
    <cellStyle name="Hipervínculo visitado" xfId="406" builtinId="9" hidden="1"/>
    <cellStyle name="Hipervínculo visitado" xfId="407" builtinId="9" hidden="1"/>
    <cellStyle name="Hipervínculo visitado" xfId="408" builtinId="9" hidden="1"/>
    <cellStyle name="Hipervínculo visitado" xfId="409" builtinId="9" hidden="1"/>
    <cellStyle name="Hipervínculo visitado" xfId="410" builtinId="9" hidden="1"/>
    <cellStyle name="Hipervínculo visitado" xfId="411" builtinId="9" hidden="1"/>
    <cellStyle name="Hipervínculo visitado" xfId="412" builtinId="9" hidden="1"/>
    <cellStyle name="Hipervínculo visitado" xfId="413" builtinId="9" hidden="1"/>
    <cellStyle name="Hipervínculo visitado" xfId="414" builtinId="9" hidden="1"/>
    <cellStyle name="Hipervínculo visitado" xfId="415" builtinId="9" hidden="1"/>
    <cellStyle name="Hipervínculo visitado" xfId="416" builtinId="9" hidden="1"/>
    <cellStyle name="Hipervínculo visitado" xfId="417" builtinId="9" hidden="1"/>
    <cellStyle name="Hipervínculo visitado" xfId="418" builtinId="9" hidden="1"/>
    <cellStyle name="Hipervínculo visitado" xfId="419" builtinId="9" hidden="1"/>
    <cellStyle name="Hipervínculo visitado" xfId="420" builtinId="9" hidden="1"/>
    <cellStyle name="Hipervínculo visitado" xfId="421" builtinId="9" hidden="1"/>
    <cellStyle name="Hipervínculo visitado" xfId="422" builtinId="9" hidden="1"/>
    <cellStyle name="Hipervínculo visitado" xfId="423" builtinId="9" hidden="1"/>
    <cellStyle name="Hipervínculo visitado" xfId="424" builtinId="9" hidden="1"/>
    <cellStyle name="Hipervínculo visitado" xfId="425" builtinId="9" hidden="1"/>
    <cellStyle name="Hipervínculo visitado" xfId="426" builtinId="9" hidden="1"/>
    <cellStyle name="Hipervínculo visitado" xfId="427" builtinId="9" hidden="1"/>
    <cellStyle name="Hipervínculo visitado" xfId="428" builtinId="9" hidden="1"/>
    <cellStyle name="Hipervínculo visitado" xfId="429" builtinId="9" hidden="1"/>
    <cellStyle name="Hipervínculo visitado" xfId="430" builtinId="9" hidden="1"/>
    <cellStyle name="Hipervínculo visitado" xfId="431" builtinId="9" hidden="1"/>
    <cellStyle name="Hipervínculo visitado" xfId="432" builtinId="9" hidden="1"/>
    <cellStyle name="Hipervínculo visitado" xfId="433" builtinId="9" hidden="1"/>
    <cellStyle name="Hipervínculo visitado" xfId="434" builtinId="9" hidden="1"/>
    <cellStyle name="Hipervínculo visitado" xfId="435" builtinId="9" hidden="1"/>
    <cellStyle name="Hipervínculo visitado" xfId="436" builtinId="9" hidden="1"/>
    <cellStyle name="Hipervínculo visitado" xfId="437" builtinId="9" hidden="1"/>
    <cellStyle name="Hipervínculo visitado" xfId="438" builtinId="9" hidden="1"/>
    <cellStyle name="Hipervínculo visitado" xfId="439" builtinId="9" hidden="1"/>
    <cellStyle name="Hipervínculo visitado" xfId="440" builtinId="9" hidden="1"/>
    <cellStyle name="Hipervínculo visitado" xfId="441" builtinId="9" hidden="1"/>
    <cellStyle name="Hipervínculo visitado" xfId="442" builtinId="9" hidden="1"/>
    <cellStyle name="Hipervínculo visitado" xfId="443" builtinId="9" hidden="1"/>
    <cellStyle name="Hipervínculo visitado" xfId="444" builtinId="9" hidden="1"/>
    <cellStyle name="Hipervínculo visitado" xfId="445" builtinId="9" hidden="1"/>
    <cellStyle name="Hipervínculo visitado" xfId="446" builtinId="9" hidden="1"/>
    <cellStyle name="Hipervínculo visitado" xfId="447" builtinId="9" hidden="1"/>
    <cellStyle name="Hipervínculo visitado" xfId="448" builtinId="9" hidden="1"/>
    <cellStyle name="Hipervínculo visitado" xfId="449" builtinId="9" hidden="1"/>
    <cellStyle name="Hipervínculo visitado" xfId="450" builtinId="9" hidden="1"/>
    <cellStyle name="Hipervínculo visitado" xfId="451" builtinId="9" hidden="1"/>
    <cellStyle name="Hipervínculo visitado" xfId="452" builtinId="9" hidden="1"/>
    <cellStyle name="Hipervínculo visitado" xfId="453" builtinId="9" hidden="1"/>
    <cellStyle name="Hipervínculo visitado" xfId="454" builtinId="9" hidden="1"/>
    <cellStyle name="Hipervínculo visitado" xfId="455" builtinId="9" hidden="1"/>
    <cellStyle name="Hipervínculo visitado" xfId="456" builtinId="9" hidden="1"/>
    <cellStyle name="Hipervínculo visitado" xfId="457" builtinId="9" hidden="1"/>
    <cellStyle name="Hipervínculo visitado" xfId="458" builtinId="9" hidden="1"/>
    <cellStyle name="Hipervínculo visitado" xfId="459" builtinId="9" hidden="1"/>
    <cellStyle name="Hipervínculo visitado" xfId="460" builtinId="9" hidden="1"/>
    <cellStyle name="Hipervínculo visitado" xfId="461" builtinId="9" hidden="1"/>
    <cellStyle name="Hipervínculo visitado" xfId="462" builtinId="9" hidden="1"/>
    <cellStyle name="Hipervínculo visitado" xfId="463" builtinId="9" hidden="1"/>
    <cellStyle name="Hipervínculo visitado" xfId="464" builtinId="9" hidden="1"/>
    <cellStyle name="Hipervínculo visitado" xfId="465" builtinId="9" hidden="1"/>
    <cellStyle name="Hipervínculo visitado" xfId="466" builtinId="9" hidden="1"/>
    <cellStyle name="Hipervínculo visitado" xfId="467" builtinId="9" hidden="1"/>
    <cellStyle name="Hipervínculo visitado" xfId="468" builtinId="9" hidden="1"/>
    <cellStyle name="Hipervínculo visitado" xfId="469" builtinId="9" hidden="1"/>
    <cellStyle name="Hipervínculo visitado" xfId="470" builtinId="9" hidden="1"/>
    <cellStyle name="Hipervínculo visitado" xfId="471" builtinId="9" hidden="1"/>
    <cellStyle name="Hipervínculo visitado" xfId="472" builtinId="9" hidden="1"/>
    <cellStyle name="Hipervínculo visitado" xfId="473" builtinId="9" hidden="1"/>
    <cellStyle name="Hipervínculo visitado" xfId="474" builtinId="9" hidden="1"/>
    <cellStyle name="Hipervínculo visitado" xfId="475" builtinId="9" hidden="1"/>
    <cellStyle name="Hipervínculo visitado" xfId="476" builtinId="9" hidden="1"/>
    <cellStyle name="Hipervínculo visitado" xfId="477" builtinId="9" hidden="1"/>
    <cellStyle name="Hipervínculo visitado" xfId="478" builtinId="9" hidden="1"/>
    <cellStyle name="Hipervínculo visitado" xfId="479" builtinId="9" hidden="1"/>
    <cellStyle name="Hipervínculo visitado" xfId="480" builtinId="9" hidden="1"/>
    <cellStyle name="Hipervínculo visitado" xfId="481" builtinId="9" hidden="1"/>
    <cellStyle name="Hipervínculo visitado" xfId="482" builtinId="9" hidden="1"/>
    <cellStyle name="Hipervínculo visitado" xfId="483" builtinId="9" hidden="1"/>
    <cellStyle name="Hipervínculo visitado" xfId="484" builtinId="9" hidden="1"/>
    <cellStyle name="Hipervínculo visitado" xfId="485" builtinId="9" hidden="1"/>
    <cellStyle name="Hipervínculo visitado" xfId="486" builtinId="9" hidden="1"/>
    <cellStyle name="Hipervínculo visitado" xfId="487" builtinId="9" hidden="1"/>
    <cellStyle name="Hipervínculo visitado" xfId="488" builtinId="9" hidden="1"/>
    <cellStyle name="Hipervínculo visitado" xfId="489" builtinId="9" hidden="1"/>
    <cellStyle name="Hipervínculo visitado" xfId="490" builtinId="9" hidden="1"/>
    <cellStyle name="Hipervínculo visitado" xfId="491" builtinId="9" hidden="1"/>
    <cellStyle name="Hipervínculo visitado" xfId="492" builtinId="9" hidden="1"/>
    <cellStyle name="Hipervínculo visitado" xfId="493" builtinId="9" hidden="1"/>
    <cellStyle name="Hipervínculo visitado" xfId="494" builtinId="9" hidden="1"/>
    <cellStyle name="Hipervínculo visitado" xfId="495" builtinId="9" hidden="1"/>
    <cellStyle name="Hipervínculo visitado" xfId="496" builtinId="9" hidden="1"/>
    <cellStyle name="Hipervínculo visitado" xfId="497" builtinId="9" hidden="1"/>
    <cellStyle name="Hipervínculo visitado" xfId="498" builtinId="9" hidden="1"/>
    <cellStyle name="Hipervínculo visitado" xfId="499" builtinId="9" hidden="1"/>
    <cellStyle name="Hipervínculo visitado" xfId="500" builtinId="9" hidden="1"/>
    <cellStyle name="Hipervínculo visitado" xfId="501" builtinId="9" hidden="1"/>
    <cellStyle name="Hipervínculo visitado" xfId="502" builtinId="9" hidden="1"/>
    <cellStyle name="Hipervínculo visitado" xfId="503" builtinId="9" hidden="1"/>
    <cellStyle name="Hipervínculo visitado" xfId="504" builtinId="9" hidden="1"/>
    <cellStyle name="Hipervínculo visitado" xfId="505" builtinId="9" hidden="1"/>
    <cellStyle name="Hipervínculo visitado" xfId="506" builtinId="9" hidden="1"/>
    <cellStyle name="Hipervínculo visitado" xfId="507" builtinId="9" hidden="1"/>
    <cellStyle name="Hipervínculo visitado" xfId="508" builtinId="9" hidden="1"/>
    <cellStyle name="Hipervínculo visitado" xfId="510" builtinId="9" hidden="1"/>
    <cellStyle name="Hipervínculo visitado" xfId="511" builtinId="9" hidden="1"/>
    <cellStyle name="Hipervínculo visitado" xfId="512" builtinId="9" hidden="1"/>
    <cellStyle name="Hipervínculo visitado" xfId="513" builtinId="9" hidden="1"/>
    <cellStyle name="Hipervínculo visitado" xfId="514" builtinId="9" hidden="1"/>
    <cellStyle name="Hipervínculo visitado" xfId="515" builtinId="9" hidden="1"/>
    <cellStyle name="Hipervínculo visitado" xfId="516" builtinId="9" hidden="1"/>
    <cellStyle name="Hipervínculo visitado" xfId="517" builtinId="9" hidden="1"/>
    <cellStyle name="Hipervínculo visitado" xfId="518" builtinId="9" hidden="1"/>
    <cellStyle name="Hipervínculo visitado" xfId="519" builtinId="9" hidden="1"/>
    <cellStyle name="Hipervínculo visitado" xfId="520" builtinId="9" hidden="1"/>
    <cellStyle name="Hipervínculo visitado" xfId="521" builtinId="9" hidden="1"/>
    <cellStyle name="Hipervínculo visitado" xfId="522" builtinId="9" hidden="1"/>
    <cellStyle name="Hipervínculo visitado" xfId="523" builtinId="9" hidden="1"/>
    <cellStyle name="Hipervínculo visitado" xfId="524" builtinId="9" hidden="1"/>
    <cellStyle name="Hipervínculo visitado" xfId="525" builtinId="9" hidden="1"/>
    <cellStyle name="Hipervínculo visitado" xfId="526" builtinId="9" hidden="1"/>
    <cellStyle name="Hipervínculo visitado" xfId="527" builtinId="9" hidden="1"/>
    <cellStyle name="Hipervínculo visitado" xfId="528" builtinId="9" hidden="1"/>
    <cellStyle name="Hipervínculo visitado" xfId="529" builtinId="9" hidden="1"/>
    <cellStyle name="Hipervínculo visitado" xfId="530" builtinId="9" hidden="1"/>
    <cellStyle name="Hipervínculo visitado" xfId="531" builtinId="9" hidden="1"/>
    <cellStyle name="Hipervínculo visitado" xfId="532" builtinId="9" hidden="1"/>
    <cellStyle name="Hipervínculo visitado" xfId="533" builtinId="9" hidden="1"/>
    <cellStyle name="Hipervínculo visitado" xfId="534" builtinId="9" hidden="1"/>
    <cellStyle name="Hipervínculo visitado" xfId="535" builtinId="9" hidden="1"/>
    <cellStyle name="Hipervínculo visitado" xfId="536" builtinId="9" hidden="1"/>
    <cellStyle name="Hipervínculo visitado" xfId="537" builtinId="9" hidden="1"/>
    <cellStyle name="Hipervínculo visitado" xfId="538" builtinId="9" hidden="1"/>
    <cellStyle name="Millares" xfId="1" builtinId="3"/>
    <cellStyle name="Moneda" xfId="509" builtinId="4"/>
    <cellStyle name="Normal" xfId="0" builtinId="0"/>
    <cellStyle name="Normal 2" xfId="308"/>
    <cellStyle name="Normal 3" xfId="307"/>
    <cellStyle name="Porcentual" xfId="2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indexed="64"/>
          <bgColor theme="4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auto="1"/>
        </horizontal>
      </border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Medium4"/>
  <colors>
    <mruColors>
      <color rgb="FFFFC2A0"/>
      <color rgb="FFC1F2FF"/>
      <color rgb="FFFFFFE9"/>
      <color rgb="FFE1FFF7"/>
      <color rgb="FFF1FF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s-ES" sz="1800"/>
            </a:pPr>
            <a:r>
              <a:rPr lang="es-ES" sz="1800"/>
              <a:t>Desempeño</a:t>
            </a:r>
            <a:r>
              <a:rPr lang="es-ES" sz="1800" baseline="0"/>
              <a:t> Económico</a:t>
            </a:r>
            <a:endParaRPr lang="es-ES" sz="1800"/>
          </a:p>
        </c:rich>
      </c:tx>
      <c:layout>
        <c:manualLayout>
          <c:xMode val="edge"/>
          <c:yMode val="edge"/>
          <c:x val="0.296408886389201"/>
          <c:y val="0.0089552238805970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6137795275591"/>
          <c:y val="0.0940961335056998"/>
          <c:w val="0.729651734427738"/>
          <c:h val="0.878651075332001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'Indice por pilar'!$N$9:$N$32</c:f>
              <c:strCache>
                <c:ptCount val="24"/>
                <c:pt idx="0">
                  <c:v>Pichincha</c:v>
                </c:pt>
                <c:pt idx="1">
                  <c:v>Francisco de Orellana</c:v>
                </c:pt>
                <c:pt idx="2">
                  <c:v>Galápagos</c:v>
                </c:pt>
                <c:pt idx="3">
                  <c:v>Azuay</c:v>
                </c:pt>
                <c:pt idx="4">
                  <c:v>Guayas</c:v>
                </c:pt>
                <c:pt idx="5">
                  <c:v>Tungurahua</c:v>
                </c:pt>
                <c:pt idx="6">
                  <c:v>Chimborazo</c:v>
                </c:pt>
                <c:pt idx="7">
                  <c:v>Santa Elena</c:v>
                </c:pt>
                <c:pt idx="8">
                  <c:v>Imbabura</c:v>
                </c:pt>
                <c:pt idx="9">
                  <c:v>El Oro</c:v>
                </c:pt>
                <c:pt idx="10">
                  <c:v>Los Ríos</c:v>
                </c:pt>
                <c:pt idx="11">
                  <c:v>Cañar</c:v>
                </c:pt>
                <c:pt idx="12">
                  <c:v>Sucumbíos</c:v>
                </c:pt>
                <c:pt idx="13">
                  <c:v>Santo Domingo de los Tsachilas</c:v>
                </c:pt>
                <c:pt idx="14">
                  <c:v>Pastaza</c:v>
                </c:pt>
                <c:pt idx="15">
                  <c:v>Morona Santiago</c:v>
                </c:pt>
                <c:pt idx="16">
                  <c:v>Cotopaxi</c:v>
                </c:pt>
                <c:pt idx="17">
                  <c:v>Loja</c:v>
                </c:pt>
                <c:pt idx="18">
                  <c:v>Esmeraldas</c:v>
                </c:pt>
                <c:pt idx="19">
                  <c:v>Manabí</c:v>
                </c:pt>
                <c:pt idx="20">
                  <c:v>Carchi</c:v>
                </c:pt>
                <c:pt idx="21">
                  <c:v>Napo</c:v>
                </c:pt>
                <c:pt idx="22">
                  <c:v>Zamora Chinchipe</c:v>
                </c:pt>
                <c:pt idx="23">
                  <c:v>Bolívar</c:v>
                </c:pt>
              </c:strCache>
            </c:strRef>
          </c:cat>
          <c:val>
            <c:numRef>
              <c:f>'Indice por pilar'!$O$9:$O$32</c:f>
              <c:numCache>
                <c:formatCode>_ * #,##0.0_ ;_ * \-#,##0.0_ ;_ * "-"??_ ;_ @_ </c:formatCode>
                <c:ptCount val="24"/>
                <c:pt idx="0">
                  <c:v>79.71331559830274</c:v>
                </c:pt>
                <c:pt idx="1">
                  <c:v>55.1429569527983</c:v>
                </c:pt>
                <c:pt idx="2">
                  <c:v>47.54702168674812</c:v>
                </c:pt>
                <c:pt idx="3">
                  <c:v>43.44165106761776</c:v>
                </c:pt>
                <c:pt idx="4">
                  <c:v>42.01901429140917</c:v>
                </c:pt>
                <c:pt idx="5">
                  <c:v>39.36868937321471</c:v>
                </c:pt>
                <c:pt idx="6">
                  <c:v>37.94454379138929</c:v>
                </c:pt>
                <c:pt idx="7">
                  <c:v>36.21832810874578</c:v>
                </c:pt>
                <c:pt idx="8">
                  <c:v>33.87495316210752</c:v>
                </c:pt>
                <c:pt idx="9">
                  <c:v>33.37346868365941</c:v>
                </c:pt>
                <c:pt idx="10">
                  <c:v>31.95220802004475</c:v>
                </c:pt>
                <c:pt idx="11">
                  <c:v>31.60417617878689</c:v>
                </c:pt>
                <c:pt idx="12">
                  <c:v>31.3366076262095</c:v>
                </c:pt>
                <c:pt idx="13">
                  <c:v>22.91923986255756</c:v>
                </c:pt>
                <c:pt idx="14">
                  <c:v>22.03640096929992</c:v>
                </c:pt>
                <c:pt idx="15">
                  <c:v>21.13793011040446</c:v>
                </c:pt>
                <c:pt idx="16">
                  <c:v>20.67804649190629</c:v>
                </c:pt>
                <c:pt idx="17">
                  <c:v>20.13857773128077</c:v>
                </c:pt>
                <c:pt idx="18">
                  <c:v>20.03965115645852</c:v>
                </c:pt>
                <c:pt idx="19">
                  <c:v>19.0282919812215</c:v>
                </c:pt>
                <c:pt idx="20">
                  <c:v>15.9455276914858</c:v>
                </c:pt>
                <c:pt idx="21">
                  <c:v>15.29841008363788</c:v>
                </c:pt>
                <c:pt idx="22">
                  <c:v>8.429988060996003</c:v>
                </c:pt>
                <c:pt idx="23">
                  <c:v>7.131572518849484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084179208"/>
        <c:axId val="-2084178856"/>
      </c:barChart>
      <c:catAx>
        <c:axId val="-208417920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-2084178856"/>
        <c:crosses val="autoZero"/>
        <c:auto val="1"/>
        <c:lblAlgn val="ctr"/>
        <c:lblOffset val="100"/>
        <c:noMultiLvlLbl val="0"/>
      </c:catAx>
      <c:valAx>
        <c:axId val="-2084178856"/>
        <c:scaling>
          <c:orientation val="minMax"/>
        </c:scaling>
        <c:delete val="1"/>
        <c:axPos val="b"/>
        <c:numFmt formatCode="_ * #,##0.0_ ;_ * \-#,##0.0_ ;_ * &quot;-&quot;??_ ;_ @_ " sourceLinked="1"/>
        <c:majorTickMark val="out"/>
        <c:minorTickMark val="none"/>
        <c:tickLblPos val="nextTo"/>
        <c:crossAx val="-2084179208"/>
        <c:crosses val="autoZero"/>
        <c:crossBetween val="between"/>
      </c:valAx>
    </c:plotArea>
    <c:plotVisOnly val="1"/>
    <c:dispBlanksAs val="gap"/>
    <c:showDLblsOverMax val="0"/>
  </c:chart>
  <c:spPr>
    <a:solidFill>
      <a:srgbClr val="F1FFE9"/>
    </a:solidFill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Recursos Naturales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7197013585737"/>
          <c:y val="0.0991150442477876"/>
          <c:w val="0.594351107665946"/>
          <c:h val="0.862536873156342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cat>
            <c:strRef>
              <c:f>'Indice por pilar'!$BP$9:$BP$32</c:f>
              <c:strCache>
                <c:ptCount val="24"/>
                <c:pt idx="0">
                  <c:v>Santo Domingo de los Tsachilas</c:v>
                </c:pt>
                <c:pt idx="1">
                  <c:v>Galápagos</c:v>
                </c:pt>
                <c:pt idx="2">
                  <c:v>Pastaza</c:v>
                </c:pt>
                <c:pt idx="3">
                  <c:v>Manabí</c:v>
                </c:pt>
                <c:pt idx="4">
                  <c:v>Napo</c:v>
                </c:pt>
                <c:pt idx="5">
                  <c:v>Esmeraldas</c:v>
                </c:pt>
                <c:pt idx="6">
                  <c:v>Francisco de Orellana</c:v>
                </c:pt>
                <c:pt idx="7">
                  <c:v>Zamora Chinchipe</c:v>
                </c:pt>
                <c:pt idx="8">
                  <c:v>Bolívar</c:v>
                </c:pt>
                <c:pt idx="9">
                  <c:v>Los Ríos</c:v>
                </c:pt>
                <c:pt idx="10">
                  <c:v>Morona Santiago</c:v>
                </c:pt>
                <c:pt idx="11">
                  <c:v>Guayas</c:v>
                </c:pt>
                <c:pt idx="12">
                  <c:v>Sucumbíos</c:v>
                </c:pt>
                <c:pt idx="13">
                  <c:v>Tungurahua</c:v>
                </c:pt>
                <c:pt idx="14">
                  <c:v>Pichincha</c:v>
                </c:pt>
                <c:pt idx="15">
                  <c:v>Santa Elena</c:v>
                </c:pt>
                <c:pt idx="16">
                  <c:v>Imbabura</c:v>
                </c:pt>
                <c:pt idx="17">
                  <c:v>Carchi</c:v>
                </c:pt>
                <c:pt idx="18">
                  <c:v>Chimborazo</c:v>
                </c:pt>
                <c:pt idx="19">
                  <c:v>El Oro</c:v>
                </c:pt>
                <c:pt idx="20">
                  <c:v>Azuay</c:v>
                </c:pt>
                <c:pt idx="21">
                  <c:v>Cañar</c:v>
                </c:pt>
                <c:pt idx="22">
                  <c:v>Cotopaxi</c:v>
                </c:pt>
                <c:pt idx="23">
                  <c:v>Loja</c:v>
                </c:pt>
              </c:strCache>
            </c:strRef>
          </c:cat>
          <c:val>
            <c:numRef>
              <c:f>'Indice por pilar'!$BQ$9:$BQ$32</c:f>
              <c:numCache>
                <c:formatCode>_ * #,##0.0_ ;_ * \-#,##0.0_ ;_ * "-"??_ ;_ @_ </c:formatCode>
                <c:ptCount val="24"/>
                <c:pt idx="0">
                  <c:v>51.33358978996137</c:v>
                </c:pt>
                <c:pt idx="1">
                  <c:v>50.0</c:v>
                </c:pt>
                <c:pt idx="2">
                  <c:v>49.63739847833135</c:v>
                </c:pt>
                <c:pt idx="3">
                  <c:v>49.31430193727092</c:v>
                </c:pt>
                <c:pt idx="4">
                  <c:v>48.9787735879538</c:v>
                </c:pt>
                <c:pt idx="5">
                  <c:v>48.71599768233635</c:v>
                </c:pt>
                <c:pt idx="6">
                  <c:v>48.52445542157451</c:v>
                </c:pt>
                <c:pt idx="7">
                  <c:v>48.39690150134771</c:v>
                </c:pt>
                <c:pt idx="8">
                  <c:v>48.34038082608707</c:v>
                </c:pt>
                <c:pt idx="9">
                  <c:v>47.56097560975611</c:v>
                </c:pt>
                <c:pt idx="10">
                  <c:v>46.45353238681319</c:v>
                </c:pt>
                <c:pt idx="11">
                  <c:v>45.87085713599136</c:v>
                </c:pt>
                <c:pt idx="12">
                  <c:v>44.84609071261822</c:v>
                </c:pt>
                <c:pt idx="13">
                  <c:v>43.54122785471117</c:v>
                </c:pt>
                <c:pt idx="14">
                  <c:v>42.95966956154786</c:v>
                </c:pt>
                <c:pt idx="15">
                  <c:v>42.65362389521749</c:v>
                </c:pt>
                <c:pt idx="16">
                  <c:v>42.45766534641356</c:v>
                </c:pt>
                <c:pt idx="17">
                  <c:v>41.02729930869571</c:v>
                </c:pt>
                <c:pt idx="18">
                  <c:v>40.44942862404671</c:v>
                </c:pt>
                <c:pt idx="19">
                  <c:v>39.98535607163844</c:v>
                </c:pt>
                <c:pt idx="20">
                  <c:v>36.78105427773902</c:v>
                </c:pt>
                <c:pt idx="21">
                  <c:v>36.71018492009264</c:v>
                </c:pt>
                <c:pt idx="22">
                  <c:v>35.91934089470469</c:v>
                </c:pt>
                <c:pt idx="23">
                  <c:v>31.65272993508952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083975960"/>
        <c:axId val="-2081227320"/>
      </c:barChart>
      <c:catAx>
        <c:axId val="-2083975960"/>
        <c:scaling>
          <c:orientation val="minMax"/>
        </c:scaling>
        <c:delete val="0"/>
        <c:axPos val="l"/>
        <c:majorTickMark val="none"/>
        <c:minorTickMark val="none"/>
        <c:tickLblPos val="nextTo"/>
        <c:crossAx val="-2081227320"/>
        <c:crosses val="autoZero"/>
        <c:auto val="1"/>
        <c:lblAlgn val="ctr"/>
        <c:lblOffset val="100"/>
        <c:noMultiLvlLbl val="0"/>
      </c:catAx>
      <c:valAx>
        <c:axId val="-2081227320"/>
        <c:scaling>
          <c:orientation val="minMax"/>
        </c:scaling>
        <c:delete val="1"/>
        <c:axPos val="b"/>
        <c:numFmt formatCode="_ * #,##0.0_ ;_ * \-#,##0.0_ ;_ * &quot;-&quot;??_ ;_ @_ " sourceLinked="1"/>
        <c:majorTickMark val="out"/>
        <c:minorTickMark val="none"/>
        <c:tickLblPos val="nextTo"/>
        <c:crossAx val="-2083975960"/>
        <c:crosses val="autoZero"/>
        <c:crossBetween val="between"/>
      </c:valAx>
    </c:plotArea>
    <c:plotVisOnly val="1"/>
    <c:dispBlanksAs val="gap"/>
    <c:showDLblsOverMax val="0"/>
  </c:chart>
  <c:spPr>
    <a:solidFill>
      <a:srgbClr val="F1FFE9"/>
    </a:solidFill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s-ES" sz="1600"/>
              <a:t>Habilitantes de</a:t>
            </a:r>
            <a:r>
              <a:rPr lang="es-ES" sz="1600" baseline="0"/>
              <a:t> innovación, ciencia y tecnología</a:t>
            </a:r>
            <a:endParaRPr lang="es-ES" sz="16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07328862600309"/>
          <c:y val="0.0714123200069605"/>
          <c:w val="0.661270203066722"/>
          <c:h val="0.901457780484622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'Indice por pilar'!$CB$9:$CB$32</c:f>
              <c:strCache>
                <c:ptCount val="24"/>
                <c:pt idx="0">
                  <c:v>Pichincha</c:v>
                </c:pt>
                <c:pt idx="1">
                  <c:v>Galápagos</c:v>
                </c:pt>
                <c:pt idx="2">
                  <c:v>Imbabura</c:v>
                </c:pt>
                <c:pt idx="3">
                  <c:v>Loja</c:v>
                </c:pt>
                <c:pt idx="4">
                  <c:v>Chimborazo</c:v>
                </c:pt>
                <c:pt idx="5">
                  <c:v>Tungurahua</c:v>
                </c:pt>
                <c:pt idx="6">
                  <c:v>Azuay</c:v>
                </c:pt>
                <c:pt idx="7">
                  <c:v>Pastaza</c:v>
                </c:pt>
                <c:pt idx="8">
                  <c:v>Cañar</c:v>
                </c:pt>
                <c:pt idx="9">
                  <c:v>Bolívar</c:v>
                </c:pt>
                <c:pt idx="10">
                  <c:v>Carchi</c:v>
                </c:pt>
                <c:pt idx="11">
                  <c:v>Zamora Chinchipe</c:v>
                </c:pt>
                <c:pt idx="12">
                  <c:v>Cotopaxi</c:v>
                </c:pt>
                <c:pt idx="13">
                  <c:v>Guayas</c:v>
                </c:pt>
                <c:pt idx="14">
                  <c:v>El Oro</c:v>
                </c:pt>
                <c:pt idx="15">
                  <c:v>Santo Domingo de los Tsachilas</c:v>
                </c:pt>
                <c:pt idx="16">
                  <c:v>Napo</c:v>
                </c:pt>
                <c:pt idx="17">
                  <c:v>Manabí</c:v>
                </c:pt>
                <c:pt idx="18">
                  <c:v>Los Ríos</c:v>
                </c:pt>
                <c:pt idx="19">
                  <c:v>Esmeraldas</c:v>
                </c:pt>
                <c:pt idx="20">
                  <c:v>Santa Elena</c:v>
                </c:pt>
                <c:pt idx="21">
                  <c:v>Morona Santiago</c:v>
                </c:pt>
                <c:pt idx="22">
                  <c:v>Francisco de Orellana</c:v>
                </c:pt>
                <c:pt idx="23">
                  <c:v>Sucumbíos</c:v>
                </c:pt>
              </c:strCache>
            </c:strRef>
          </c:cat>
          <c:val>
            <c:numRef>
              <c:f>'Indice por pilar'!$CC$9:$CC$32</c:f>
              <c:numCache>
                <c:formatCode>_ * #,##0.0_ ;_ * \-#,##0.0_ ;_ * "-"??_ ;_ @_ </c:formatCode>
                <c:ptCount val="24"/>
                <c:pt idx="0">
                  <c:v>68.45337068745597</c:v>
                </c:pt>
                <c:pt idx="1">
                  <c:v>68.29143079209577</c:v>
                </c:pt>
                <c:pt idx="2">
                  <c:v>66.89822809503331</c:v>
                </c:pt>
                <c:pt idx="3">
                  <c:v>66.42581499890745</c:v>
                </c:pt>
                <c:pt idx="4">
                  <c:v>62.3425057541025</c:v>
                </c:pt>
                <c:pt idx="5">
                  <c:v>53.42444180178507</c:v>
                </c:pt>
                <c:pt idx="6">
                  <c:v>53.27871250820805</c:v>
                </c:pt>
                <c:pt idx="7">
                  <c:v>50.4429853489927</c:v>
                </c:pt>
                <c:pt idx="8">
                  <c:v>47.87921592065452</c:v>
                </c:pt>
                <c:pt idx="9">
                  <c:v>47.08441779559004</c:v>
                </c:pt>
                <c:pt idx="10">
                  <c:v>41.55545126793317</c:v>
                </c:pt>
                <c:pt idx="11">
                  <c:v>33.43339086009799</c:v>
                </c:pt>
                <c:pt idx="12">
                  <c:v>32.8065993344365</c:v>
                </c:pt>
                <c:pt idx="13">
                  <c:v>32.45007912753957</c:v>
                </c:pt>
                <c:pt idx="14">
                  <c:v>28.40220356005702</c:v>
                </c:pt>
                <c:pt idx="15">
                  <c:v>28.09617413803572</c:v>
                </c:pt>
                <c:pt idx="16">
                  <c:v>27.56008646622923</c:v>
                </c:pt>
                <c:pt idx="17">
                  <c:v>24.85682969208321</c:v>
                </c:pt>
                <c:pt idx="18">
                  <c:v>23.26569566579397</c:v>
                </c:pt>
                <c:pt idx="19">
                  <c:v>15.62782096793869</c:v>
                </c:pt>
                <c:pt idx="20">
                  <c:v>15.24172035564547</c:v>
                </c:pt>
                <c:pt idx="21">
                  <c:v>12.32097779286636</c:v>
                </c:pt>
                <c:pt idx="22">
                  <c:v>11.91970912544956</c:v>
                </c:pt>
                <c:pt idx="23">
                  <c:v>11.3680624741272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084336312"/>
        <c:axId val="-2080495896"/>
      </c:barChart>
      <c:catAx>
        <c:axId val="-208433631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es-ES"/>
          </a:p>
        </c:txPr>
        <c:crossAx val="-2080495896"/>
        <c:crosses val="autoZero"/>
        <c:auto val="1"/>
        <c:lblAlgn val="ctr"/>
        <c:lblOffset val="100"/>
        <c:noMultiLvlLbl val="0"/>
      </c:catAx>
      <c:valAx>
        <c:axId val="-2080495896"/>
        <c:scaling>
          <c:orientation val="minMax"/>
        </c:scaling>
        <c:delete val="1"/>
        <c:axPos val="b"/>
        <c:numFmt formatCode="_ * #,##0.0_ ;_ * \-#,##0.0_ ;_ * &quot;-&quot;??_ ;_ @_ " sourceLinked="1"/>
        <c:majorTickMark val="out"/>
        <c:minorTickMark val="none"/>
        <c:tickLblPos val="nextTo"/>
        <c:crossAx val="-2084336312"/>
        <c:crosses val="autoZero"/>
        <c:crossBetween val="between"/>
      </c:valAx>
    </c:plotArea>
    <c:plotVisOnly val="1"/>
    <c:dispBlanksAs val="gap"/>
    <c:showDLblsOverMax val="0"/>
  </c:chart>
  <c:spPr>
    <a:solidFill>
      <a:srgbClr val="F1FFE9"/>
    </a:solidFill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Seguridad Jurídica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cat>
            <c:strRef>
              <c:f>'Indice por pilar'!$BV$9:$BV$32</c:f>
              <c:strCache>
                <c:ptCount val="24"/>
                <c:pt idx="0">
                  <c:v>Galápagos</c:v>
                </c:pt>
                <c:pt idx="1">
                  <c:v>Santa Elena</c:v>
                </c:pt>
                <c:pt idx="2">
                  <c:v>Cañar</c:v>
                </c:pt>
                <c:pt idx="3">
                  <c:v>Morona Santiago</c:v>
                </c:pt>
                <c:pt idx="4">
                  <c:v>Carchi</c:v>
                </c:pt>
                <c:pt idx="5">
                  <c:v>Imbabura</c:v>
                </c:pt>
                <c:pt idx="6">
                  <c:v>Francisco de Orellana</c:v>
                </c:pt>
                <c:pt idx="7">
                  <c:v>Tungurahua</c:v>
                </c:pt>
                <c:pt idx="8">
                  <c:v>Zamora Chinchipe</c:v>
                </c:pt>
                <c:pt idx="9">
                  <c:v>Pastaza</c:v>
                </c:pt>
                <c:pt idx="10">
                  <c:v>El Oro</c:v>
                </c:pt>
                <c:pt idx="11">
                  <c:v>Los Ríos</c:v>
                </c:pt>
                <c:pt idx="12">
                  <c:v>Chimborazo</c:v>
                </c:pt>
                <c:pt idx="13">
                  <c:v>Pichincha</c:v>
                </c:pt>
                <c:pt idx="14">
                  <c:v>Napo</c:v>
                </c:pt>
                <c:pt idx="15">
                  <c:v>Bolívar</c:v>
                </c:pt>
                <c:pt idx="16">
                  <c:v>Azuay</c:v>
                </c:pt>
                <c:pt idx="17">
                  <c:v>Sucumbíos</c:v>
                </c:pt>
                <c:pt idx="18">
                  <c:v>Loja</c:v>
                </c:pt>
                <c:pt idx="19">
                  <c:v>Cotopaxi</c:v>
                </c:pt>
                <c:pt idx="20">
                  <c:v>Santo Domingo de los Tsachilas</c:v>
                </c:pt>
                <c:pt idx="21">
                  <c:v>Esmeraldas</c:v>
                </c:pt>
                <c:pt idx="22">
                  <c:v>Manabí</c:v>
                </c:pt>
                <c:pt idx="23">
                  <c:v>Guayas</c:v>
                </c:pt>
              </c:strCache>
            </c:strRef>
          </c:cat>
          <c:val>
            <c:numRef>
              <c:f>'Indice por pilar'!$BW$9:$BW$32</c:f>
              <c:numCache>
                <c:formatCode>_ * #,##0.0_ ;_ * \-#,##0.0_ ;_ * "-"??_ ;_ @_ </c:formatCode>
                <c:ptCount val="24"/>
                <c:pt idx="0">
                  <c:v>78.74025031789703</c:v>
                </c:pt>
                <c:pt idx="1">
                  <c:v>58.69009632182458</c:v>
                </c:pt>
                <c:pt idx="2">
                  <c:v>55.23927292990868</c:v>
                </c:pt>
                <c:pt idx="3">
                  <c:v>50.54638007840511</c:v>
                </c:pt>
                <c:pt idx="4">
                  <c:v>48.53850272216032</c:v>
                </c:pt>
                <c:pt idx="5">
                  <c:v>45.37349279202736</c:v>
                </c:pt>
                <c:pt idx="6">
                  <c:v>43.10222525023912</c:v>
                </c:pt>
                <c:pt idx="7">
                  <c:v>41.82888068937874</c:v>
                </c:pt>
                <c:pt idx="8">
                  <c:v>40.504035007032</c:v>
                </c:pt>
                <c:pt idx="9">
                  <c:v>39.99796981753573</c:v>
                </c:pt>
                <c:pt idx="10">
                  <c:v>39.90223618130113</c:v>
                </c:pt>
                <c:pt idx="11">
                  <c:v>38.53832137436781</c:v>
                </c:pt>
                <c:pt idx="12">
                  <c:v>37.05258314412268</c:v>
                </c:pt>
                <c:pt idx="13">
                  <c:v>34.95899220553241</c:v>
                </c:pt>
                <c:pt idx="14">
                  <c:v>28.9255939588375</c:v>
                </c:pt>
                <c:pt idx="15">
                  <c:v>28.04275012467324</c:v>
                </c:pt>
                <c:pt idx="16">
                  <c:v>24.18785038477768</c:v>
                </c:pt>
                <c:pt idx="17">
                  <c:v>21.48291675767623</c:v>
                </c:pt>
                <c:pt idx="18">
                  <c:v>19.84852610090416</c:v>
                </c:pt>
                <c:pt idx="19">
                  <c:v>15.98896274141198</c:v>
                </c:pt>
                <c:pt idx="20">
                  <c:v>12.12194761041972</c:v>
                </c:pt>
                <c:pt idx="21">
                  <c:v>10.2772646638999</c:v>
                </c:pt>
                <c:pt idx="22">
                  <c:v>10.00083647909146</c:v>
                </c:pt>
                <c:pt idx="23">
                  <c:v>4.257755488004737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083956856"/>
        <c:axId val="-2080706952"/>
      </c:barChart>
      <c:catAx>
        <c:axId val="-2083956856"/>
        <c:scaling>
          <c:orientation val="minMax"/>
        </c:scaling>
        <c:delete val="0"/>
        <c:axPos val="l"/>
        <c:majorTickMark val="none"/>
        <c:minorTickMark val="none"/>
        <c:tickLblPos val="nextTo"/>
        <c:crossAx val="-2080706952"/>
        <c:crosses val="autoZero"/>
        <c:auto val="1"/>
        <c:lblAlgn val="ctr"/>
        <c:lblOffset val="100"/>
        <c:noMultiLvlLbl val="0"/>
      </c:catAx>
      <c:valAx>
        <c:axId val="-2080706952"/>
        <c:scaling>
          <c:orientation val="minMax"/>
        </c:scaling>
        <c:delete val="1"/>
        <c:axPos val="b"/>
        <c:numFmt formatCode="_ * #,##0.0_ ;_ * \-#,##0.0_ ;_ * &quot;-&quot;??_ ;_ @_ " sourceLinked="1"/>
        <c:majorTickMark val="out"/>
        <c:minorTickMark val="none"/>
        <c:tickLblPos val="nextTo"/>
        <c:crossAx val="-2083956856"/>
        <c:crosses val="autoZero"/>
        <c:crossBetween val="between"/>
      </c:valAx>
    </c:plotArea>
    <c:plotVisOnly val="1"/>
    <c:dispBlanksAs val="gap"/>
    <c:showDLblsOverMax val="0"/>
  </c:chart>
  <c:spPr>
    <a:solidFill>
      <a:srgbClr val="FFFFE9"/>
    </a:solidFill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'Por provincia'!$E$6</c:f>
              <c:strCache>
                <c:ptCount val="1"/>
                <c:pt idx="0">
                  <c:v>Guayas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 sz="160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 provincia'!$B$8:$N$8</c:f>
              <c:strCache>
                <c:ptCount val="13"/>
                <c:pt idx="0">
                  <c:v>Desarrollo Integral de las personas</c:v>
                </c:pt>
                <c:pt idx="1">
                  <c:v>Desempeño Económico</c:v>
                </c:pt>
                <c:pt idx="2">
                  <c:v>Empleo</c:v>
                </c:pt>
                <c:pt idx="3">
                  <c:v>Gestión Empresarial</c:v>
                </c:pt>
                <c:pt idx="4">
                  <c:v>Gestión, Gobiernos e Instituciones</c:v>
                </c:pt>
                <c:pt idx="5">
                  <c:v>Infraestructura y Localización</c:v>
                </c:pt>
                <c:pt idx="6">
                  <c:v>Internacionalización y Apertura</c:v>
                </c:pt>
                <c:pt idx="7">
                  <c:v>Mercados financieros</c:v>
                </c:pt>
                <c:pt idx="8">
                  <c:v>Recursos Naturales y Ambiente</c:v>
                </c:pt>
                <c:pt idx="9">
                  <c:v>Seguridad Jurídica</c:v>
                </c:pt>
                <c:pt idx="10">
                  <c:v>Urbanización</c:v>
                </c:pt>
                <c:pt idx="11">
                  <c:v>Habilitantes de Innovación, Ciencia y Tecnología</c:v>
                </c:pt>
                <c:pt idx="12">
                  <c:v>Total general</c:v>
                </c:pt>
              </c:strCache>
            </c:strRef>
          </c:cat>
          <c:val>
            <c:numRef>
              <c:f>'Por provincia'!$B$13:$N$13</c:f>
              <c:numCache>
                <c:formatCode>General</c:formatCode>
                <c:ptCount val="13"/>
                <c:pt idx="0">
                  <c:v>3.0</c:v>
                </c:pt>
                <c:pt idx="1">
                  <c:v>5.0</c:v>
                </c:pt>
                <c:pt idx="2">
                  <c:v>24.0</c:v>
                </c:pt>
                <c:pt idx="3">
                  <c:v>2.0</c:v>
                </c:pt>
                <c:pt idx="4">
                  <c:v>15.0</c:v>
                </c:pt>
                <c:pt idx="5">
                  <c:v>3.0</c:v>
                </c:pt>
                <c:pt idx="6">
                  <c:v>2.0</c:v>
                </c:pt>
                <c:pt idx="7">
                  <c:v>2.0</c:v>
                </c:pt>
                <c:pt idx="8">
                  <c:v>12.0</c:v>
                </c:pt>
                <c:pt idx="9">
                  <c:v>24.0</c:v>
                </c:pt>
                <c:pt idx="10">
                  <c:v>2.0</c:v>
                </c:pt>
                <c:pt idx="11">
                  <c:v>14.0</c:v>
                </c:pt>
                <c:pt idx="1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551928"/>
        <c:axId val="-2087560792"/>
      </c:barChart>
      <c:catAx>
        <c:axId val="-2087551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s-ES" sz="1400" b="1">
                <a:solidFill>
                  <a:schemeClr val="accent6">
                    <a:lumMod val="50000"/>
                  </a:schemeClr>
                </a:solidFill>
              </a:defRPr>
            </a:pPr>
            <a:endParaRPr lang="es-ES"/>
          </a:p>
        </c:txPr>
        <c:crossAx val="-2087560792"/>
        <c:crosses val="autoZero"/>
        <c:auto val="1"/>
        <c:lblAlgn val="ctr"/>
        <c:lblOffset val="100"/>
        <c:noMultiLvlLbl val="0"/>
      </c:catAx>
      <c:valAx>
        <c:axId val="-208756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-208755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1513517060367"/>
          <c:y val="0.230779234377618"/>
          <c:w val="0.416972965879265"/>
          <c:h val="0.665382392360529"/>
        </c:manualLayout>
      </c:layout>
      <c:radarChart>
        <c:radarStyle val="marker"/>
        <c:varyColors val="0"/>
        <c:ser>
          <c:idx val="0"/>
          <c:order val="0"/>
          <c:tx>
            <c:strRef>
              <c:f>'Por provincia'!$A$11</c:f>
              <c:strCache>
                <c:ptCount val="1"/>
                <c:pt idx="0">
                  <c:v>Promedio provincias</c:v>
                </c:pt>
              </c:strCache>
            </c:strRef>
          </c:tx>
          <c:cat>
            <c:strRef>
              <c:f>'Por provincia'!$B$8:$N$8</c:f>
              <c:strCache>
                <c:ptCount val="13"/>
                <c:pt idx="0">
                  <c:v>Desarrollo Integral de las personas</c:v>
                </c:pt>
                <c:pt idx="1">
                  <c:v>Desempeño Económico</c:v>
                </c:pt>
                <c:pt idx="2">
                  <c:v>Empleo</c:v>
                </c:pt>
                <c:pt idx="3">
                  <c:v>Gestión Empresarial</c:v>
                </c:pt>
                <c:pt idx="4">
                  <c:v>Gestión, Gobiernos e Instituciones</c:v>
                </c:pt>
                <c:pt idx="5">
                  <c:v>Infraestructura y Localización</c:v>
                </c:pt>
                <c:pt idx="6">
                  <c:v>Internacionalización y Apertura</c:v>
                </c:pt>
                <c:pt idx="7">
                  <c:v>Mercados financieros</c:v>
                </c:pt>
                <c:pt idx="8">
                  <c:v>Recursos Naturales y Ambiente</c:v>
                </c:pt>
                <c:pt idx="9">
                  <c:v>Seguridad Jurídica</c:v>
                </c:pt>
                <c:pt idx="10">
                  <c:v>Urbanización</c:v>
                </c:pt>
                <c:pt idx="11">
                  <c:v>Habilitantes de Innovación, Ciencia y Tecnología</c:v>
                </c:pt>
                <c:pt idx="12">
                  <c:v>Total general</c:v>
                </c:pt>
              </c:strCache>
            </c:strRef>
          </c:cat>
          <c:val>
            <c:numRef>
              <c:f>'Por provincia'!$B$11:$N$11</c:f>
              <c:numCache>
                <c:formatCode>_ * #,##0.0_ ;_ * \-#,##0.0_ ;_ * "-"?_ ;_ @_ </c:formatCod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'Por provincia'!$A$12</c:f>
              <c:strCache>
                <c:ptCount val="1"/>
                <c:pt idx="0">
                  <c:v>Guayas</c:v>
                </c:pt>
              </c:strCache>
            </c:strRef>
          </c:tx>
          <c:cat>
            <c:strRef>
              <c:f>'Por provincia'!$B$8:$N$8</c:f>
              <c:strCache>
                <c:ptCount val="13"/>
                <c:pt idx="0">
                  <c:v>Desarrollo Integral de las personas</c:v>
                </c:pt>
                <c:pt idx="1">
                  <c:v>Desempeño Económico</c:v>
                </c:pt>
                <c:pt idx="2">
                  <c:v>Empleo</c:v>
                </c:pt>
                <c:pt idx="3">
                  <c:v>Gestión Empresarial</c:v>
                </c:pt>
                <c:pt idx="4">
                  <c:v>Gestión, Gobiernos e Instituciones</c:v>
                </c:pt>
                <c:pt idx="5">
                  <c:v>Infraestructura y Localización</c:v>
                </c:pt>
                <c:pt idx="6">
                  <c:v>Internacionalización y Apertura</c:v>
                </c:pt>
                <c:pt idx="7">
                  <c:v>Mercados financieros</c:v>
                </c:pt>
                <c:pt idx="8">
                  <c:v>Recursos Naturales y Ambiente</c:v>
                </c:pt>
                <c:pt idx="9">
                  <c:v>Seguridad Jurídica</c:v>
                </c:pt>
                <c:pt idx="10">
                  <c:v>Urbanización</c:v>
                </c:pt>
                <c:pt idx="11">
                  <c:v>Habilitantes de Innovación, Ciencia y Tecnología</c:v>
                </c:pt>
                <c:pt idx="12">
                  <c:v>Total general</c:v>
                </c:pt>
              </c:strCache>
            </c:strRef>
          </c:cat>
          <c:val>
            <c:numRef>
              <c:f>'Por provincia'!$B$12:$N$12</c:f>
              <c:numCache>
                <c:formatCode>_ * #,##0.0_ ;_ * \-#,##0.0_ ;_ * "-"?_ ;_ @_ </c:formatCode>
                <c:ptCount val="13"/>
                <c:pt idx="0">
                  <c:v>0.740360666782347</c:v>
                </c:pt>
                <c:pt idx="1">
                  <c:v>0.946474937376023</c:v>
                </c:pt>
                <c:pt idx="2">
                  <c:v>0.585320979615099</c:v>
                </c:pt>
                <c:pt idx="3">
                  <c:v>1.512083289886841</c:v>
                </c:pt>
                <c:pt idx="4">
                  <c:v>0.734089674013829</c:v>
                </c:pt>
                <c:pt idx="5">
                  <c:v>1.642902816853405</c:v>
                </c:pt>
                <c:pt idx="6">
                  <c:v>1.091757219143398</c:v>
                </c:pt>
                <c:pt idx="7">
                  <c:v>1.328571498388745</c:v>
                </c:pt>
                <c:pt idx="8">
                  <c:v>1.033237389484605</c:v>
                </c:pt>
                <c:pt idx="9">
                  <c:v>0.0959056019478213</c:v>
                </c:pt>
                <c:pt idx="10">
                  <c:v>1.526854223880736</c:v>
                </c:pt>
                <c:pt idx="11">
                  <c:v>0.730935437873048</c:v>
                </c:pt>
                <c:pt idx="12">
                  <c:v>1.077446681888308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092840712"/>
        <c:axId val="2072805432"/>
      </c:radarChart>
      <c:catAx>
        <c:axId val="-209284071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400" b="1">
                <a:solidFill>
                  <a:srgbClr val="000090"/>
                </a:solidFill>
              </a:defRPr>
            </a:pPr>
            <a:endParaRPr lang="es-ES"/>
          </a:p>
        </c:txPr>
        <c:crossAx val="2072805432"/>
        <c:crosses val="autoZero"/>
        <c:auto val="1"/>
        <c:lblAlgn val="ctr"/>
        <c:lblOffset val="100"/>
        <c:noMultiLvlLbl val="0"/>
      </c:catAx>
      <c:valAx>
        <c:axId val="2072805432"/>
        <c:scaling>
          <c:orientation val="minMax"/>
        </c:scaling>
        <c:delete val="0"/>
        <c:axPos val="l"/>
        <c:majorGridlines/>
        <c:numFmt formatCode="_ * #,##0.0_ ;_ * \-#,##0.0_ ;_ * &quot;-&quot;?_ ;_ @_ " sourceLinked="1"/>
        <c:majorTickMark val="none"/>
        <c:minorTickMark val="none"/>
        <c:tickLblPos val="nextTo"/>
        <c:crossAx val="-20928407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54838582677165"/>
          <c:y val="0.0159574468085106"/>
          <c:w val="0.445161410879287"/>
          <c:h val="0.0726855419668286"/>
        </c:manualLayout>
      </c:layout>
      <c:overlay val="0"/>
      <c:spPr>
        <a:noFill/>
        <a:effectLst>
          <a:glow rad="101600">
            <a:schemeClr val="tx2">
              <a:alpha val="75000"/>
            </a:schemeClr>
          </a:glow>
        </a:effectLst>
      </c:spPr>
      <c:txPr>
        <a:bodyPr/>
        <a:lstStyle/>
        <a:p>
          <a:pPr>
            <a:defRPr sz="1600" b="1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s-ES" sz="2000"/>
            </a:pPr>
            <a:r>
              <a:rPr lang="es-ES" sz="2000"/>
              <a:t>Índice</a:t>
            </a:r>
            <a:r>
              <a:rPr lang="es-ES" sz="2000" baseline="0"/>
              <a:t> Único de Competitividad Provincial</a:t>
            </a:r>
            <a:endParaRPr lang="es-ES" sz="20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16183084257325"/>
          <c:y val="0.109514586538752"/>
          <c:w val="0.62578841930473"/>
          <c:h val="0.852621314156812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 sz="140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'Indice por pilar'!$H$9:$H$32</c:f>
              <c:strCache>
                <c:ptCount val="24"/>
                <c:pt idx="0">
                  <c:v>Pichincha</c:v>
                </c:pt>
                <c:pt idx="1">
                  <c:v>Galápagos</c:v>
                </c:pt>
                <c:pt idx="2">
                  <c:v>Guayas</c:v>
                </c:pt>
                <c:pt idx="3">
                  <c:v>Azuay</c:v>
                </c:pt>
                <c:pt idx="4">
                  <c:v>Tungurahua</c:v>
                </c:pt>
                <c:pt idx="5">
                  <c:v>El Oro</c:v>
                </c:pt>
                <c:pt idx="6">
                  <c:v>Imbabura</c:v>
                </c:pt>
                <c:pt idx="7">
                  <c:v>Chimborazo</c:v>
                </c:pt>
                <c:pt idx="8">
                  <c:v>Santo Domingo de los Tsachilas</c:v>
                </c:pt>
                <c:pt idx="9">
                  <c:v>Cañar</c:v>
                </c:pt>
                <c:pt idx="10">
                  <c:v>Santa Elena</c:v>
                </c:pt>
                <c:pt idx="11">
                  <c:v>Francisco de Orellana</c:v>
                </c:pt>
                <c:pt idx="12">
                  <c:v>Cotopaxi</c:v>
                </c:pt>
                <c:pt idx="13">
                  <c:v>Los Ríos</c:v>
                </c:pt>
                <c:pt idx="14">
                  <c:v>Manabí</c:v>
                </c:pt>
                <c:pt idx="15">
                  <c:v>Carchi</c:v>
                </c:pt>
                <c:pt idx="16">
                  <c:v>Pastaza</c:v>
                </c:pt>
                <c:pt idx="17">
                  <c:v>Loja</c:v>
                </c:pt>
                <c:pt idx="18">
                  <c:v>Bolívar</c:v>
                </c:pt>
                <c:pt idx="19">
                  <c:v>Morona Santiago</c:v>
                </c:pt>
                <c:pt idx="20">
                  <c:v>Esmeraldas</c:v>
                </c:pt>
                <c:pt idx="21">
                  <c:v>Zamora Chinchipe</c:v>
                </c:pt>
                <c:pt idx="22">
                  <c:v>Sucumbíos</c:v>
                </c:pt>
                <c:pt idx="23">
                  <c:v>Napo</c:v>
                </c:pt>
              </c:strCache>
            </c:strRef>
          </c:cat>
          <c:val>
            <c:numRef>
              <c:f>'Indice por pilar'!$I$9:$I$32</c:f>
              <c:numCache>
                <c:formatCode>_ * #,##0.0_ ;_ * \-#,##0.0_ ;_ * "-"??_ ;_ @_ </c:formatCode>
                <c:ptCount val="24"/>
                <c:pt idx="0">
                  <c:v>72.60608750655379</c:v>
                </c:pt>
                <c:pt idx="1">
                  <c:v>54.75264357822343</c:v>
                </c:pt>
                <c:pt idx="2">
                  <c:v>47.8335407908532</c:v>
                </c:pt>
                <c:pt idx="3">
                  <c:v>47.75036278119833</c:v>
                </c:pt>
                <c:pt idx="4">
                  <c:v>44.32965574334104</c:v>
                </c:pt>
                <c:pt idx="5">
                  <c:v>43.68795361982088</c:v>
                </c:pt>
                <c:pt idx="6">
                  <c:v>43.47046552563378</c:v>
                </c:pt>
                <c:pt idx="7">
                  <c:v>39.1966826973182</c:v>
                </c:pt>
                <c:pt idx="8">
                  <c:v>37.51790521753996</c:v>
                </c:pt>
                <c:pt idx="9">
                  <c:v>37.03591449849473</c:v>
                </c:pt>
                <c:pt idx="10">
                  <c:v>36.91048104487264</c:v>
                </c:pt>
                <c:pt idx="11">
                  <c:v>34.92436491844007</c:v>
                </c:pt>
                <c:pt idx="12">
                  <c:v>33.53541147980172</c:v>
                </c:pt>
                <c:pt idx="13">
                  <c:v>33.245641445503</c:v>
                </c:pt>
                <c:pt idx="14">
                  <c:v>32.9705791452678</c:v>
                </c:pt>
                <c:pt idx="15">
                  <c:v>32.83650343894406</c:v>
                </c:pt>
                <c:pt idx="16">
                  <c:v>32.28374758792298</c:v>
                </c:pt>
                <c:pt idx="17">
                  <c:v>31.27763943800791</c:v>
                </c:pt>
                <c:pt idx="18">
                  <c:v>29.71724383321984</c:v>
                </c:pt>
                <c:pt idx="19">
                  <c:v>29.53370662734755</c:v>
                </c:pt>
                <c:pt idx="20">
                  <c:v>27.42186920461072</c:v>
                </c:pt>
                <c:pt idx="21">
                  <c:v>27.05124378468557</c:v>
                </c:pt>
                <c:pt idx="22">
                  <c:v>26.98912957845589</c:v>
                </c:pt>
                <c:pt idx="23">
                  <c:v>26.93771290819155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087614648"/>
        <c:axId val="-2087624952"/>
      </c:barChart>
      <c:catAx>
        <c:axId val="-208761464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 sz="1400"/>
            </a:pPr>
            <a:endParaRPr lang="es-ES"/>
          </a:p>
        </c:txPr>
        <c:crossAx val="-2087624952"/>
        <c:crosses val="autoZero"/>
        <c:auto val="1"/>
        <c:lblAlgn val="ctr"/>
        <c:lblOffset val="100"/>
        <c:noMultiLvlLbl val="0"/>
      </c:catAx>
      <c:valAx>
        <c:axId val="-2087624952"/>
        <c:scaling>
          <c:orientation val="minMax"/>
        </c:scaling>
        <c:delete val="1"/>
        <c:axPos val="b"/>
        <c:numFmt formatCode="_ * #,##0.0_ ;_ * \-#,##0.0_ ;_ * &quot;-&quot;??_ ;_ @_ " sourceLinked="1"/>
        <c:majorTickMark val="out"/>
        <c:minorTickMark val="none"/>
        <c:tickLblPos val="nextTo"/>
        <c:crossAx val="-208761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s-ES" sz="2400">
                <a:solidFill>
                  <a:schemeClr val="accent2">
                    <a:lumMod val="75000"/>
                  </a:schemeClr>
                </a:solidFill>
              </a:rPr>
              <a:t>Pilares</a:t>
            </a:r>
            <a:r>
              <a:rPr lang="es-ES" sz="2400" baseline="0">
                <a:solidFill>
                  <a:schemeClr val="accent2">
                    <a:lumMod val="75000"/>
                  </a:schemeClr>
                </a:solidFill>
              </a:rPr>
              <a:t> de competitividad comparados por provincias </a:t>
            </a:r>
            <a:endParaRPr lang="es-ES" sz="2400">
              <a:solidFill>
                <a:schemeClr val="accent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0978164860408275"/>
          <c:y val="0.0410958857449221"/>
        </c:manualLayout>
      </c:layout>
      <c:overlay val="0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272278748618609"/>
          <c:y val="0.233444216720593"/>
          <c:w val="0.393250695180968"/>
          <c:h val="0.698041124497882"/>
        </c:manualLayout>
      </c:layout>
      <c:radarChart>
        <c:radarStyle val="marker"/>
        <c:varyColors val="0"/>
        <c:ser>
          <c:idx val="0"/>
          <c:order val="0"/>
          <c:tx>
            <c:strRef>
              <c:f>'Comparación por provincias'!$B$9</c:f>
              <c:strCache>
                <c:ptCount val="1"/>
                <c:pt idx="0">
                  <c:v>Promedio Nacional</c:v>
                </c:pt>
              </c:strCache>
            </c:strRef>
          </c:tx>
          <c:cat>
            <c:strRef>
              <c:f>'Comparación por provincias'!$C$8:$O$8</c:f>
              <c:strCache>
                <c:ptCount val="13"/>
                <c:pt idx="0">
                  <c:v>Desarrollo Integral de las personas</c:v>
                </c:pt>
                <c:pt idx="1">
                  <c:v>Desempeño Económico</c:v>
                </c:pt>
                <c:pt idx="2">
                  <c:v>Empleo</c:v>
                </c:pt>
                <c:pt idx="3">
                  <c:v>Gestión Empresarial</c:v>
                </c:pt>
                <c:pt idx="4">
                  <c:v>Gestión, Gobiernos e Instituciones</c:v>
                </c:pt>
                <c:pt idx="5">
                  <c:v>Infraestructura y Localización</c:v>
                </c:pt>
                <c:pt idx="6">
                  <c:v>Internacionalización y Apertura</c:v>
                </c:pt>
                <c:pt idx="7">
                  <c:v>Mercados financieros</c:v>
                </c:pt>
                <c:pt idx="8">
                  <c:v>Recursos Naturales y Ambiente</c:v>
                </c:pt>
                <c:pt idx="9">
                  <c:v>Seguridad Jurídica</c:v>
                </c:pt>
                <c:pt idx="10">
                  <c:v>Urbanización</c:v>
                </c:pt>
                <c:pt idx="11">
                  <c:v>Habilitantes de Innovación, Ciencia y Tecnología</c:v>
                </c:pt>
                <c:pt idx="12">
                  <c:v>Total general</c:v>
                </c:pt>
              </c:strCache>
            </c:strRef>
          </c:cat>
          <c:val>
            <c:numRef>
              <c:f>'Comparación por provincias'!$C$9:$O$9</c:f>
              <c:numCache>
                <c:formatCode>_-* #,##0.00_-;\-* #,##0.00_-;_-* "-"??_-;_-@_-</c:formatCode>
                <c:ptCount val="13"/>
                <c:pt idx="0">
                  <c:v>44.39527411882806</c:v>
                </c:pt>
                <c:pt idx="1">
                  <c:v>30.68002379996384</c:v>
                </c:pt>
                <c:pt idx="2">
                  <c:v>55.37125412812904</c:v>
                </c:pt>
                <c:pt idx="3">
                  <c:v>28.15254663111645</c:v>
                </c:pt>
                <c:pt idx="4">
                  <c:v>39.22074442093956</c:v>
                </c:pt>
                <c:pt idx="5">
                  <c:v>58.75476414350106</c:v>
                </c:pt>
                <c:pt idx="6">
                  <c:v>14.33937343791162</c:v>
                </c:pt>
                <c:pt idx="7">
                  <c:v>28.73345451444361</c:v>
                </c:pt>
                <c:pt idx="8">
                  <c:v>44.25461815666412</c:v>
                </c:pt>
                <c:pt idx="9">
                  <c:v>34.50615179755956</c:v>
                </c:pt>
                <c:pt idx="10">
                  <c:v>44.79233976783005</c:v>
                </c:pt>
                <c:pt idx="11">
                  <c:v>38.47608018879413</c:v>
                </c:pt>
                <c:pt idx="12">
                  <c:v>37.65902026642703</c:v>
                </c:pt>
              </c:numCache>
            </c:numRef>
          </c:val>
        </c:ser>
        <c:ser>
          <c:idx val="1"/>
          <c:order val="1"/>
          <c:tx>
            <c:strRef>
              <c:f>'Comparación por provincias'!$B$10</c:f>
              <c:strCache>
                <c:ptCount val="1"/>
                <c:pt idx="0">
                  <c:v>Manabí</c:v>
                </c:pt>
              </c:strCache>
            </c:strRef>
          </c:tx>
          <c:cat>
            <c:strRef>
              <c:f>'Comparación por provincias'!$C$8:$O$8</c:f>
              <c:strCache>
                <c:ptCount val="13"/>
                <c:pt idx="0">
                  <c:v>Desarrollo Integral de las personas</c:v>
                </c:pt>
                <c:pt idx="1">
                  <c:v>Desempeño Económico</c:v>
                </c:pt>
                <c:pt idx="2">
                  <c:v>Empleo</c:v>
                </c:pt>
                <c:pt idx="3">
                  <c:v>Gestión Empresarial</c:v>
                </c:pt>
                <c:pt idx="4">
                  <c:v>Gestión, Gobiernos e Instituciones</c:v>
                </c:pt>
                <c:pt idx="5">
                  <c:v>Infraestructura y Localización</c:v>
                </c:pt>
                <c:pt idx="6">
                  <c:v>Internacionalización y Apertura</c:v>
                </c:pt>
                <c:pt idx="7">
                  <c:v>Mercados financieros</c:v>
                </c:pt>
                <c:pt idx="8">
                  <c:v>Recursos Naturales y Ambiente</c:v>
                </c:pt>
                <c:pt idx="9">
                  <c:v>Seguridad Jurídica</c:v>
                </c:pt>
                <c:pt idx="10">
                  <c:v>Urbanización</c:v>
                </c:pt>
                <c:pt idx="11">
                  <c:v>Habilitantes de Innovación, Ciencia y Tecnología</c:v>
                </c:pt>
                <c:pt idx="12">
                  <c:v>Total general</c:v>
                </c:pt>
              </c:strCache>
            </c:strRef>
          </c:cat>
          <c:val>
            <c:numRef>
              <c:f>'Comparación por provincias'!$C$10:$O$10</c:f>
              <c:numCache>
                <c:formatCode>_ * #,##0.0_ ;_ * \-#,##0.0_ ;_ * "-"??_ ;_ @_ </c:formatCode>
                <c:ptCount val="13"/>
                <c:pt idx="0">
                  <c:v>37.12023902725923</c:v>
                </c:pt>
                <c:pt idx="1">
                  <c:v>19.0282919812215</c:v>
                </c:pt>
                <c:pt idx="2">
                  <c:v>50.54461750119099</c:v>
                </c:pt>
                <c:pt idx="3">
                  <c:v>24.86448833978141</c:v>
                </c:pt>
                <c:pt idx="4">
                  <c:v>21.12243668372768</c:v>
                </c:pt>
                <c:pt idx="5">
                  <c:v>61.80276480961959</c:v>
                </c:pt>
                <c:pt idx="6">
                  <c:v>17.46823804877806</c:v>
                </c:pt>
                <c:pt idx="7">
                  <c:v>28.73776804672069</c:v>
                </c:pt>
                <c:pt idx="8">
                  <c:v>49.31430193727092</c:v>
                </c:pt>
                <c:pt idx="9">
                  <c:v>10.00083647909146</c:v>
                </c:pt>
                <c:pt idx="10">
                  <c:v>46.53815482503864</c:v>
                </c:pt>
                <c:pt idx="11">
                  <c:v>24.85682969208321</c:v>
                </c:pt>
                <c:pt idx="12">
                  <c:v>32.9705791452678</c:v>
                </c:pt>
              </c:numCache>
            </c:numRef>
          </c:val>
        </c:ser>
        <c:ser>
          <c:idx val="2"/>
          <c:order val="2"/>
          <c:tx>
            <c:strRef>
              <c:f>'Comparación por provincias'!$B$11</c:f>
              <c:strCache>
                <c:ptCount val="1"/>
                <c:pt idx="0">
                  <c:v>Tungurahua</c:v>
                </c:pt>
              </c:strCache>
            </c:strRef>
          </c:tx>
          <c:cat>
            <c:strRef>
              <c:f>'Comparación por provincias'!$C$8:$O$8</c:f>
              <c:strCache>
                <c:ptCount val="13"/>
                <c:pt idx="0">
                  <c:v>Desarrollo Integral de las personas</c:v>
                </c:pt>
                <c:pt idx="1">
                  <c:v>Desempeño Económico</c:v>
                </c:pt>
                <c:pt idx="2">
                  <c:v>Empleo</c:v>
                </c:pt>
                <c:pt idx="3">
                  <c:v>Gestión Empresarial</c:v>
                </c:pt>
                <c:pt idx="4">
                  <c:v>Gestión, Gobiernos e Instituciones</c:v>
                </c:pt>
                <c:pt idx="5">
                  <c:v>Infraestructura y Localización</c:v>
                </c:pt>
                <c:pt idx="6">
                  <c:v>Internacionalización y Apertura</c:v>
                </c:pt>
                <c:pt idx="7">
                  <c:v>Mercados financieros</c:v>
                </c:pt>
                <c:pt idx="8">
                  <c:v>Recursos Naturales y Ambiente</c:v>
                </c:pt>
                <c:pt idx="9">
                  <c:v>Seguridad Jurídica</c:v>
                </c:pt>
                <c:pt idx="10">
                  <c:v>Urbanización</c:v>
                </c:pt>
                <c:pt idx="11">
                  <c:v>Habilitantes de Innovación, Ciencia y Tecnología</c:v>
                </c:pt>
                <c:pt idx="12">
                  <c:v>Total general</c:v>
                </c:pt>
              </c:strCache>
            </c:strRef>
          </c:cat>
          <c:val>
            <c:numRef>
              <c:f>'Comparación por provincias'!$C$11:$O$11</c:f>
              <c:numCache>
                <c:formatCode>_ * #,##0.0_ ;_ * \-#,##0.0_ ;_ * "-"??_ ;_ @_ </c:formatCode>
                <c:ptCount val="13"/>
                <c:pt idx="0">
                  <c:v>61.1276216475402</c:v>
                </c:pt>
                <c:pt idx="1">
                  <c:v>39.36868937321471</c:v>
                </c:pt>
                <c:pt idx="2">
                  <c:v>53.54028402266125</c:v>
                </c:pt>
                <c:pt idx="3">
                  <c:v>41.67903973805752</c:v>
                </c:pt>
                <c:pt idx="4">
                  <c:v>37.18486295277851</c:v>
                </c:pt>
                <c:pt idx="5">
                  <c:v>69.64556366550323</c:v>
                </c:pt>
                <c:pt idx="6">
                  <c:v>7.465609344926499</c:v>
                </c:pt>
                <c:pt idx="7">
                  <c:v>34.23707676355833</c:v>
                </c:pt>
                <c:pt idx="8">
                  <c:v>43.54122785471117</c:v>
                </c:pt>
                <c:pt idx="9">
                  <c:v>41.82888068937874</c:v>
                </c:pt>
                <c:pt idx="10">
                  <c:v>59.12243236578462</c:v>
                </c:pt>
                <c:pt idx="11">
                  <c:v>53.42444180178507</c:v>
                </c:pt>
                <c:pt idx="12">
                  <c:v>44.32965574334104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695032"/>
        <c:axId val="-2087691768"/>
      </c:radarChart>
      <c:catAx>
        <c:axId val="-208769503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600" b="1">
                <a:solidFill>
                  <a:schemeClr val="accent6">
                    <a:lumMod val="50000"/>
                  </a:schemeClr>
                </a:solidFill>
              </a:defRPr>
            </a:pPr>
            <a:endParaRPr lang="es-ES"/>
          </a:p>
        </c:txPr>
        <c:crossAx val="-2087691768"/>
        <c:crosses val="autoZero"/>
        <c:auto val="1"/>
        <c:lblAlgn val="ctr"/>
        <c:lblOffset val="100"/>
        <c:noMultiLvlLbl val="0"/>
      </c:catAx>
      <c:valAx>
        <c:axId val="-2087691768"/>
        <c:scaling>
          <c:orientation val="minMax"/>
        </c:scaling>
        <c:delete val="0"/>
        <c:axPos val="l"/>
        <c:majorGridlines/>
        <c:numFmt formatCode="_-* #,##0.00_-;\-* #,##0.00_-;_-* &quot;-&quot;??_-;_-@_-" sourceLinked="1"/>
        <c:majorTickMark val="none"/>
        <c:minorTickMark val="none"/>
        <c:tickLblPos val="nextTo"/>
        <c:crossAx val="-2087695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9628544722525"/>
          <c:y val="0.0975387771104261"/>
          <c:w val="0.212660516234833"/>
          <c:h val="0.193012371002689"/>
        </c:manualLayout>
      </c:layout>
      <c:overlay val="0"/>
      <c:txPr>
        <a:bodyPr/>
        <a:lstStyle/>
        <a:p>
          <a:pPr>
            <a:defRPr sz="1800" b="1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/>
              <a:t>Empleo</a:t>
            </a:r>
          </a:p>
        </c:rich>
      </c:tx>
      <c:layout>
        <c:manualLayout>
          <c:xMode val="edge"/>
          <c:yMode val="edge"/>
          <c:x val="0.417959686428783"/>
          <c:y val="0.01232033053409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6438186009689"/>
          <c:y val="0.0821483058232894"/>
          <c:w val="0.729291168469179"/>
          <c:h val="0.877810408190443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'Indice por pilar'!$T$9:$T$32</c:f>
              <c:strCache>
                <c:ptCount val="24"/>
                <c:pt idx="0">
                  <c:v>Galápagos</c:v>
                </c:pt>
                <c:pt idx="1">
                  <c:v>Chimborazo</c:v>
                </c:pt>
                <c:pt idx="2">
                  <c:v>Azuay</c:v>
                </c:pt>
                <c:pt idx="3">
                  <c:v>Santo Domingo de los Tsachilas</c:v>
                </c:pt>
                <c:pt idx="4">
                  <c:v>Morona Santiago</c:v>
                </c:pt>
                <c:pt idx="5">
                  <c:v>Bolívar</c:v>
                </c:pt>
                <c:pt idx="6">
                  <c:v>Cotopaxi</c:v>
                </c:pt>
                <c:pt idx="7">
                  <c:v>Pastaza</c:v>
                </c:pt>
                <c:pt idx="8">
                  <c:v>El Oro</c:v>
                </c:pt>
                <c:pt idx="9">
                  <c:v>Francisco de Orellana</c:v>
                </c:pt>
                <c:pt idx="10">
                  <c:v>Tungurahua</c:v>
                </c:pt>
                <c:pt idx="11">
                  <c:v>Cañar</c:v>
                </c:pt>
                <c:pt idx="12">
                  <c:v>Pichincha</c:v>
                </c:pt>
                <c:pt idx="13">
                  <c:v>Zamora Chinchipe</c:v>
                </c:pt>
                <c:pt idx="14">
                  <c:v>Manabí</c:v>
                </c:pt>
                <c:pt idx="15">
                  <c:v>Carchi</c:v>
                </c:pt>
                <c:pt idx="16">
                  <c:v>Imbabura</c:v>
                </c:pt>
                <c:pt idx="17">
                  <c:v>Santa Elena</c:v>
                </c:pt>
                <c:pt idx="18">
                  <c:v>Napo</c:v>
                </c:pt>
                <c:pt idx="19">
                  <c:v>Loja</c:v>
                </c:pt>
                <c:pt idx="20">
                  <c:v>Sucumbíos</c:v>
                </c:pt>
                <c:pt idx="21">
                  <c:v>Esmeraldas</c:v>
                </c:pt>
                <c:pt idx="22">
                  <c:v>Los Ríos</c:v>
                </c:pt>
                <c:pt idx="23">
                  <c:v>Guayas</c:v>
                </c:pt>
              </c:strCache>
            </c:strRef>
          </c:cat>
          <c:val>
            <c:numRef>
              <c:f>'Indice por pilar'!$U$9:$U$32</c:f>
              <c:numCache>
                <c:formatCode>_ * #,##0.0_ ;_ * \-#,##0.0_ ;_ * "-"??_ ;_ @_ </c:formatCode>
                <c:ptCount val="24"/>
                <c:pt idx="0">
                  <c:v>89.85341789992958</c:v>
                </c:pt>
                <c:pt idx="1">
                  <c:v>78.00162152371905</c:v>
                </c:pt>
                <c:pt idx="2">
                  <c:v>76.41402986100717</c:v>
                </c:pt>
                <c:pt idx="3">
                  <c:v>72.13457320224343</c:v>
                </c:pt>
                <c:pt idx="4">
                  <c:v>68.7910406701927</c:v>
                </c:pt>
                <c:pt idx="5">
                  <c:v>67.76218973104064</c:v>
                </c:pt>
                <c:pt idx="6">
                  <c:v>66.73011056040753</c:v>
                </c:pt>
                <c:pt idx="7">
                  <c:v>66.29182592865336</c:v>
                </c:pt>
                <c:pt idx="8">
                  <c:v>59.46618284331022</c:v>
                </c:pt>
                <c:pt idx="9">
                  <c:v>56.90917388057314</c:v>
                </c:pt>
                <c:pt idx="10">
                  <c:v>53.54028402266125</c:v>
                </c:pt>
                <c:pt idx="11">
                  <c:v>53.06149482699374</c:v>
                </c:pt>
                <c:pt idx="12">
                  <c:v>52.11671064713478</c:v>
                </c:pt>
                <c:pt idx="13">
                  <c:v>51.22580429399382</c:v>
                </c:pt>
                <c:pt idx="14">
                  <c:v>50.54461750119099</c:v>
                </c:pt>
                <c:pt idx="15">
                  <c:v>48.03944028786802</c:v>
                </c:pt>
                <c:pt idx="16">
                  <c:v>47.05739393776378</c:v>
                </c:pt>
                <c:pt idx="17">
                  <c:v>46.53065860902751</c:v>
                </c:pt>
                <c:pt idx="18">
                  <c:v>46.32849841107141</c:v>
                </c:pt>
                <c:pt idx="19">
                  <c:v>42.82546644007846</c:v>
                </c:pt>
                <c:pt idx="20">
                  <c:v>40.49872319987585</c:v>
                </c:pt>
                <c:pt idx="21">
                  <c:v>37.61574860543851</c:v>
                </c:pt>
                <c:pt idx="22">
                  <c:v>31.18560685340837</c:v>
                </c:pt>
                <c:pt idx="23">
                  <c:v>25.9854853375133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080797832"/>
        <c:axId val="-2080814200"/>
      </c:barChart>
      <c:catAx>
        <c:axId val="-208079783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-2080814200"/>
        <c:crosses val="autoZero"/>
        <c:auto val="1"/>
        <c:lblAlgn val="ctr"/>
        <c:lblOffset val="100"/>
        <c:noMultiLvlLbl val="0"/>
      </c:catAx>
      <c:valAx>
        <c:axId val="-2080814200"/>
        <c:scaling>
          <c:orientation val="minMax"/>
        </c:scaling>
        <c:delete val="1"/>
        <c:axPos val="b"/>
        <c:numFmt formatCode="_ * #,##0.0_ ;_ * \-#,##0.0_ ;_ * &quot;-&quot;??_ ;_ @_ " sourceLinked="1"/>
        <c:majorTickMark val="out"/>
        <c:minorTickMark val="none"/>
        <c:tickLblPos val="nextTo"/>
        <c:crossAx val="-2080797832"/>
        <c:crosses val="autoZero"/>
        <c:crossBetween val="between"/>
      </c:valAx>
    </c:plotArea>
    <c:plotVisOnly val="1"/>
    <c:dispBlanksAs val="gap"/>
    <c:showDLblsOverMax val="0"/>
  </c:chart>
  <c:spPr>
    <a:solidFill>
      <a:srgbClr val="FFFFE9"/>
    </a:solidFill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/>
              <a:t>Gestión</a:t>
            </a:r>
            <a:r>
              <a:rPr lang="es-ES" baseline="0"/>
              <a:t> Empresarial</a:t>
            </a:r>
            <a:endParaRPr lang="es-ES"/>
          </a:p>
        </c:rich>
      </c:tx>
      <c:layout>
        <c:manualLayout>
          <c:xMode val="edge"/>
          <c:yMode val="edge"/>
          <c:x val="0.315578294458476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38863467538256"/>
          <c:y val="0.0993547751071207"/>
          <c:w val="0.630476155103254"/>
          <c:h val="0.860020059693304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'Indice por pilar'!$Z$9:$Z$32</c:f>
              <c:strCache>
                <c:ptCount val="24"/>
                <c:pt idx="0">
                  <c:v>Pichincha</c:v>
                </c:pt>
                <c:pt idx="1">
                  <c:v>Guayas</c:v>
                </c:pt>
                <c:pt idx="2">
                  <c:v>Galápagos</c:v>
                </c:pt>
                <c:pt idx="3">
                  <c:v>Azuay</c:v>
                </c:pt>
                <c:pt idx="4">
                  <c:v>Tungurahua</c:v>
                </c:pt>
                <c:pt idx="5">
                  <c:v>El Oro</c:v>
                </c:pt>
                <c:pt idx="6">
                  <c:v>Santo Domingo de los Tsachilas</c:v>
                </c:pt>
                <c:pt idx="7">
                  <c:v>Sucumbíos</c:v>
                </c:pt>
                <c:pt idx="8">
                  <c:v>Francisco de Orellana</c:v>
                </c:pt>
                <c:pt idx="9">
                  <c:v>Imbabura</c:v>
                </c:pt>
                <c:pt idx="10">
                  <c:v>Manabí</c:v>
                </c:pt>
                <c:pt idx="11">
                  <c:v>Loja</c:v>
                </c:pt>
                <c:pt idx="12">
                  <c:v>Cotopaxi</c:v>
                </c:pt>
                <c:pt idx="13">
                  <c:v>Esmeraldas</c:v>
                </c:pt>
                <c:pt idx="14">
                  <c:v>Santa Elena</c:v>
                </c:pt>
                <c:pt idx="15">
                  <c:v>Chimborazo</c:v>
                </c:pt>
                <c:pt idx="16">
                  <c:v>Los Ríos</c:v>
                </c:pt>
                <c:pt idx="17">
                  <c:v>Carchi</c:v>
                </c:pt>
                <c:pt idx="18">
                  <c:v>Pastaza</c:v>
                </c:pt>
                <c:pt idx="19">
                  <c:v>Cañar</c:v>
                </c:pt>
                <c:pt idx="20">
                  <c:v>Morona Santiago</c:v>
                </c:pt>
                <c:pt idx="21">
                  <c:v>Zamora Chinchipe</c:v>
                </c:pt>
                <c:pt idx="22">
                  <c:v>Napo</c:v>
                </c:pt>
                <c:pt idx="23">
                  <c:v>Bolívar</c:v>
                </c:pt>
              </c:strCache>
            </c:strRef>
          </c:cat>
          <c:val>
            <c:numRef>
              <c:f>'Indice por pilar'!$AA$9:$AA$32</c:f>
              <c:numCache>
                <c:formatCode>_ * #,##0.0_ ;_ * \-#,##0.0_ ;_ * "-"??_ ;_ @_ </c:formatCode>
                <c:ptCount val="24"/>
                <c:pt idx="0">
                  <c:v>81.01916684598193</c:v>
                </c:pt>
                <c:pt idx="1">
                  <c:v>67.12935214502565</c:v>
                </c:pt>
                <c:pt idx="2">
                  <c:v>47.25651918110387</c:v>
                </c:pt>
                <c:pt idx="3">
                  <c:v>45.39235203231614</c:v>
                </c:pt>
                <c:pt idx="4">
                  <c:v>41.67903973805752</c:v>
                </c:pt>
                <c:pt idx="5">
                  <c:v>32.71882623618387</c:v>
                </c:pt>
                <c:pt idx="6">
                  <c:v>30.75711389481356</c:v>
                </c:pt>
                <c:pt idx="7">
                  <c:v>30.22800944727317</c:v>
                </c:pt>
                <c:pt idx="8">
                  <c:v>28.96793209774501</c:v>
                </c:pt>
                <c:pt idx="9">
                  <c:v>25.4906068385473</c:v>
                </c:pt>
                <c:pt idx="10">
                  <c:v>24.86448833978141</c:v>
                </c:pt>
                <c:pt idx="11">
                  <c:v>23.17825566499983</c:v>
                </c:pt>
                <c:pt idx="12">
                  <c:v>23.13079573218229</c:v>
                </c:pt>
                <c:pt idx="13">
                  <c:v>22.94850132267791</c:v>
                </c:pt>
                <c:pt idx="14">
                  <c:v>22.87801238345989</c:v>
                </c:pt>
                <c:pt idx="15">
                  <c:v>21.35831486638017</c:v>
                </c:pt>
                <c:pt idx="16">
                  <c:v>20.95320411665861</c:v>
                </c:pt>
                <c:pt idx="17">
                  <c:v>16.50831515289915</c:v>
                </c:pt>
                <c:pt idx="18">
                  <c:v>15.06545845991807</c:v>
                </c:pt>
                <c:pt idx="19">
                  <c:v>15.0513792583292</c:v>
                </c:pt>
                <c:pt idx="20">
                  <c:v>14.08617005043587</c:v>
                </c:pt>
                <c:pt idx="21">
                  <c:v>10.86695327039271</c:v>
                </c:pt>
                <c:pt idx="22">
                  <c:v>8.861989306402438</c:v>
                </c:pt>
                <c:pt idx="23">
                  <c:v>5.270362765229295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080745896"/>
        <c:axId val="-2083570376"/>
      </c:barChart>
      <c:catAx>
        <c:axId val="-20807458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-2083570376"/>
        <c:crosses val="autoZero"/>
        <c:auto val="1"/>
        <c:lblAlgn val="ctr"/>
        <c:lblOffset val="100"/>
        <c:noMultiLvlLbl val="0"/>
      </c:catAx>
      <c:valAx>
        <c:axId val="-2083570376"/>
        <c:scaling>
          <c:orientation val="minMax"/>
        </c:scaling>
        <c:delete val="1"/>
        <c:axPos val="b"/>
        <c:numFmt formatCode="_ * #,##0.0_ ;_ * \-#,##0.0_ ;_ * &quot;-&quot;??_ ;_ @_ " sourceLinked="1"/>
        <c:majorTickMark val="out"/>
        <c:minorTickMark val="none"/>
        <c:tickLblPos val="nextTo"/>
        <c:crossAx val="-2080745896"/>
        <c:crosses val="autoZero"/>
        <c:crossBetween val="between"/>
      </c:valAx>
    </c:plotArea>
    <c:plotVisOnly val="1"/>
    <c:dispBlanksAs val="gap"/>
    <c:showDLblsOverMax val="0"/>
  </c:chart>
  <c:spPr>
    <a:solidFill>
      <a:srgbClr val="FFFFE9"/>
    </a:solidFill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 sz="1600"/>
              <a:t>Infraestructura</a:t>
            </a:r>
            <a:r>
              <a:rPr lang="es-ES" sz="1600" baseline="0"/>
              <a:t> y Localización</a:t>
            </a:r>
            <a:endParaRPr lang="es-ES" sz="16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3245196250749"/>
          <c:y val="0.0918864244120721"/>
          <c:w val="0.754629599902087"/>
          <c:h val="0.868559816735049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'Indice por pilar'!$AF$9:$AF$32</c:f>
              <c:strCache>
                <c:ptCount val="24"/>
                <c:pt idx="0">
                  <c:v>Pichincha</c:v>
                </c:pt>
                <c:pt idx="1">
                  <c:v>Azuay</c:v>
                </c:pt>
                <c:pt idx="2">
                  <c:v>Guayas</c:v>
                </c:pt>
                <c:pt idx="3">
                  <c:v>Cañar</c:v>
                </c:pt>
                <c:pt idx="4">
                  <c:v>El Oro</c:v>
                </c:pt>
                <c:pt idx="5">
                  <c:v>Imbabura</c:v>
                </c:pt>
                <c:pt idx="6">
                  <c:v>Tungurahua</c:v>
                </c:pt>
                <c:pt idx="7">
                  <c:v>Santo Domingo de los Tsachilas</c:v>
                </c:pt>
                <c:pt idx="8">
                  <c:v>Carchi</c:v>
                </c:pt>
                <c:pt idx="9">
                  <c:v>Bolívar</c:v>
                </c:pt>
                <c:pt idx="10">
                  <c:v>Chimborazo</c:v>
                </c:pt>
                <c:pt idx="11">
                  <c:v>Manabí</c:v>
                </c:pt>
                <c:pt idx="12">
                  <c:v>Loja</c:v>
                </c:pt>
                <c:pt idx="13">
                  <c:v>Santa Elena</c:v>
                </c:pt>
                <c:pt idx="14">
                  <c:v>Los Ríos</c:v>
                </c:pt>
                <c:pt idx="15">
                  <c:v>Cotopaxi</c:v>
                </c:pt>
                <c:pt idx="16">
                  <c:v>Esmeraldas</c:v>
                </c:pt>
                <c:pt idx="17">
                  <c:v>Pastaza</c:v>
                </c:pt>
                <c:pt idx="18">
                  <c:v>Napo</c:v>
                </c:pt>
                <c:pt idx="19">
                  <c:v>Zamora Chinchipe</c:v>
                </c:pt>
                <c:pt idx="20">
                  <c:v>Morona Santiago</c:v>
                </c:pt>
                <c:pt idx="21">
                  <c:v>Sucumbíos</c:v>
                </c:pt>
                <c:pt idx="22">
                  <c:v>Francisco de Orellana</c:v>
                </c:pt>
                <c:pt idx="23">
                  <c:v>Galápagos</c:v>
                </c:pt>
              </c:strCache>
            </c:strRef>
          </c:cat>
          <c:val>
            <c:numRef>
              <c:f>'Indice por pilar'!$AG$9:$AG$32</c:f>
              <c:numCache>
                <c:formatCode>_ * #,##0.0_ ;_ * \-#,##0.0_ ;_ * "-"??_ ;_ @_ </c:formatCode>
                <c:ptCount val="24"/>
                <c:pt idx="0">
                  <c:v>81.07160967674417</c:v>
                </c:pt>
                <c:pt idx="1">
                  <c:v>75.82068883367036</c:v>
                </c:pt>
                <c:pt idx="2">
                  <c:v>72.9371209048017</c:v>
                </c:pt>
                <c:pt idx="3">
                  <c:v>72.57768417448392</c:v>
                </c:pt>
                <c:pt idx="4">
                  <c:v>70.89335377352243</c:v>
                </c:pt>
                <c:pt idx="5">
                  <c:v>70.0356018668783</c:v>
                </c:pt>
                <c:pt idx="6">
                  <c:v>69.64556366550323</c:v>
                </c:pt>
                <c:pt idx="7">
                  <c:v>69.15263219058991</c:v>
                </c:pt>
                <c:pt idx="8">
                  <c:v>69.115480625007</c:v>
                </c:pt>
                <c:pt idx="9">
                  <c:v>68.52025221907112</c:v>
                </c:pt>
                <c:pt idx="10">
                  <c:v>64.5015234970384</c:v>
                </c:pt>
                <c:pt idx="11">
                  <c:v>61.80276480961959</c:v>
                </c:pt>
                <c:pt idx="12">
                  <c:v>60.9770448918085</c:v>
                </c:pt>
                <c:pt idx="13">
                  <c:v>60.7529199075473</c:v>
                </c:pt>
                <c:pt idx="14">
                  <c:v>57.03626307696769</c:v>
                </c:pt>
                <c:pt idx="15">
                  <c:v>53.41852185271863</c:v>
                </c:pt>
                <c:pt idx="16">
                  <c:v>52.40213987853595</c:v>
                </c:pt>
                <c:pt idx="17">
                  <c:v>45.18275511516141</c:v>
                </c:pt>
                <c:pt idx="18">
                  <c:v>45.09204653123631</c:v>
                </c:pt>
                <c:pt idx="19">
                  <c:v>45.00199808206442</c:v>
                </c:pt>
                <c:pt idx="20">
                  <c:v>44.7599784096035</c:v>
                </c:pt>
                <c:pt idx="21">
                  <c:v>41.78185821555932</c:v>
                </c:pt>
                <c:pt idx="22">
                  <c:v>32.96747888318167</c:v>
                </c:pt>
                <c:pt idx="23">
                  <c:v>24.66705836271054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080856488"/>
        <c:axId val="-2080847832"/>
      </c:barChart>
      <c:catAx>
        <c:axId val="-208085648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-2080847832"/>
        <c:crosses val="autoZero"/>
        <c:auto val="1"/>
        <c:lblAlgn val="ctr"/>
        <c:lblOffset val="100"/>
        <c:noMultiLvlLbl val="0"/>
      </c:catAx>
      <c:valAx>
        <c:axId val="-2080847832"/>
        <c:scaling>
          <c:orientation val="minMax"/>
        </c:scaling>
        <c:delete val="1"/>
        <c:axPos val="b"/>
        <c:numFmt formatCode="_ * #,##0.0_ ;_ * \-#,##0.0_ ;_ * &quot;-&quot;??_ ;_ @_ " sourceLinked="1"/>
        <c:majorTickMark val="out"/>
        <c:minorTickMark val="none"/>
        <c:tickLblPos val="nextTo"/>
        <c:crossAx val="-2080856488"/>
        <c:crosses val="autoZero"/>
        <c:crossBetween val="between"/>
      </c:valAx>
    </c:plotArea>
    <c:plotVisOnly val="1"/>
    <c:dispBlanksAs val="gap"/>
    <c:showDLblsOverMax val="0"/>
  </c:chart>
  <c:spPr>
    <a:solidFill>
      <a:srgbClr val="F1FFE9"/>
    </a:solidFill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/>
              <a:t>Internacionalización y apertura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51985629472606"/>
          <c:y val="0.0915463991838948"/>
          <c:w val="0.616203605849404"/>
          <c:h val="0.868247411985341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'Indice por pilar'!$AL$9:$AL$32</c:f>
              <c:strCache>
                <c:ptCount val="24"/>
                <c:pt idx="0">
                  <c:v>Pichincha</c:v>
                </c:pt>
                <c:pt idx="1">
                  <c:v>Guayas</c:v>
                </c:pt>
                <c:pt idx="2">
                  <c:v>Galápagos</c:v>
                </c:pt>
                <c:pt idx="3">
                  <c:v>Cotopaxi</c:v>
                </c:pt>
                <c:pt idx="4">
                  <c:v>El Oro</c:v>
                </c:pt>
                <c:pt idx="5">
                  <c:v>Imbabura</c:v>
                </c:pt>
                <c:pt idx="6">
                  <c:v>Manabí</c:v>
                </c:pt>
                <c:pt idx="7">
                  <c:v>Los Ríos</c:v>
                </c:pt>
                <c:pt idx="8">
                  <c:v>Santo Domingo de los Tsachilas</c:v>
                </c:pt>
                <c:pt idx="9">
                  <c:v>Carchi</c:v>
                </c:pt>
                <c:pt idx="10">
                  <c:v>Esmeraldas</c:v>
                </c:pt>
                <c:pt idx="11">
                  <c:v>Azuay</c:v>
                </c:pt>
                <c:pt idx="12">
                  <c:v>Santa Elena</c:v>
                </c:pt>
                <c:pt idx="13">
                  <c:v>Tungurahua</c:v>
                </c:pt>
                <c:pt idx="14">
                  <c:v>Napo</c:v>
                </c:pt>
                <c:pt idx="15">
                  <c:v>Cañar</c:v>
                </c:pt>
                <c:pt idx="16">
                  <c:v>Bolívar</c:v>
                </c:pt>
                <c:pt idx="17">
                  <c:v>Chimborazo</c:v>
                </c:pt>
                <c:pt idx="18">
                  <c:v>Pastaza</c:v>
                </c:pt>
                <c:pt idx="19">
                  <c:v>Morona Santiago</c:v>
                </c:pt>
                <c:pt idx="20">
                  <c:v>Francisco de Orellana</c:v>
                </c:pt>
                <c:pt idx="21">
                  <c:v>Zamora Chinchipe</c:v>
                </c:pt>
                <c:pt idx="22">
                  <c:v>Loja</c:v>
                </c:pt>
                <c:pt idx="23">
                  <c:v>Sucumbíos</c:v>
                </c:pt>
              </c:strCache>
            </c:strRef>
          </c:cat>
          <c:val>
            <c:numRef>
              <c:f>'Indice por pilar'!$AM$9:$AM$32</c:f>
              <c:numCache>
                <c:formatCode>_ * #,##0.0_ ;_ * \-#,##0.0_ ;_ * "-"??_ ;_ @_ </c:formatCode>
                <c:ptCount val="24"/>
                <c:pt idx="0">
                  <c:v>82.30189832281258</c:v>
                </c:pt>
                <c:pt idx="1">
                  <c:v>48.46886101508058</c:v>
                </c:pt>
                <c:pt idx="2">
                  <c:v>34.58824722583993</c:v>
                </c:pt>
                <c:pt idx="3">
                  <c:v>27.98591403527163</c:v>
                </c:pt>
                <c:pt idx="4">
                  <c:v>25.69634270930454</c:v>
                </c:pt>
                <c:pt idx="5">
                  <c:v>19.22720564700189</c:v>
                </c:pt>
                <c:pt idx="6">
                  <c:v>17.46823804877806</c:v>
                </c:pt>
                <c:pt idx="7">
                  <c:v>13.657342699191</c:v>
                </c:pt>
                <c:pt idx="8">
                  <c:v>13.51541911408841</c:v>
                </c:pt>
                <c:pt idx="9">
                  <c:v>10.5237431218156</c:v>
                </c:pt>
                <c:pt idx="10">
                  <c:v>10.19028014292213</c:v>
                </c:pt>
                <c:pt idx="11">
                  <c:v>8.814640592207597</c:v>
                </c:pt>
                <c:pt idx="12">
                  <c:v>8.814434379915384</c:v>
                </c:pt>
                <c:pt idx="13">
                  <c:v>7.465609344926499</c:v>
                </c:pt>
                <c:pt idx="14">
                  <c:v>3.830120365650269</c:v>
                </c:pt>
                <c:pt idx="15">
                  <c:v>3.114108739603765</c:v>
                </c:pt>
                <c:pt idx="16">
                  <c:v>2.883517753647516</c:v>
                </c:pt>
                <c:pt idx="17">
                  <c:v>2.535165522967335</c:v>
                </c:pt>
                <c:pt idx="18">
                  <c:v>1.355252266175215</c:v>
                </c:pt>
                <c:pt idx="19">
                  <c:v>0.99590557908401</c:v>
                </c:pt>
                <c:pt idx="20">
                  <c:v>0.433591248975291</c:v>
                </c:pt>
                <c:pt idx="21">
                  <c:v>0.226990233512828</c:v>
                </c:pt>
                <c:pt idx="22">
                  <c:v>0.0403669264068474</c:v>
                </c:pt>
                <c:pt idx="23">
                  <c:v>0.0117674746999294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080572872"/>
        <c:axId val="-2080598552"/>
      </c:barChart>
      <c:catAx>
        <c:axId val="-20805728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-2080598552"/>
        <c:crosses val="autoZero"/>
        <c:auto val="1"/>
        <c:lblAlgn val="ctr"/>
        <c:lblOffset val="100"/>
        <c:noMultiLvlLbl val="0"/>
      </c:catAx>
      <c:valAx>
        <c:axId val="-2080598552"/>
        <c:scaling>
          <c:orientation val="minMax"/>
        </c:scaling>
        <c:delete val="1"/>
        <c:axPos val="b"/>
        <c:numFmt formatCode="_ * #,##0.0_ ;_ * \-#,##0.0_ ;_ * &quot;-&quot;??_ ;_ @_ " sourceLinked="1"/>
        <c:majorTickMark val="out"/>
        <c:minorTickMark val="none"/>
        <c:tickLblPos val="nextTo"/>
        <c:crossAx val="-2080572872"/>
        <c:crosses val="autoZero"/>
        <c:crossBetween val="between"/>
      </c:valAx>
    </c:plotArea>
    <c:plotVisOnly val="1"/>
    <c:dispBlanksAs val="gap"/>
    <c:showDLblsOverMax val="0"/>
  </c:chart>
  <c:spPr>
    <a:solidFill>
      <a:srgbClr val="F1FFE9"/>
    </a:solidFill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/>
              <a:t>Mercados Financieros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5546496328464"/>
          <c:y val="0.0963414634146341"/>
          <c:w val="0.612409826617264"/>
          <c:h val="0.864024390243902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'Indice por pilar'!$AR$9:$AR$32</c:f>
              <c:strCache>
                <c:ptCount val="24"/>
                <c:pt idx="0">
                  <c:v>Pichincha</c:v>
                </c:pt>
                <c:pt idx="1">
                  <c:v>Guayas</c:v>
                </c:pt>
                <c:pt idx="2">
                  <c:v>Azuay</c:v>
                </c:pt>
                <c:pt idx="3">
                  <c:v>Galápagos</c:v>
                </c:pt>
                <c:pt idx="4">
                  <c:v>Imbabura</c:v>
                </c:pt>
                <c:pt idx="5">
                  <c:v>Tungurahua</c:v>
                </c:pt>
                <c:pt idx="6">
                  <c:v>Santa Elena</c:v>
                </c:pt>
                <c:pt idx="7">
                  <c:v>El Oro</c:v>
                </c:pt>
                <c:pt idx="8">
                  <c:v>Santo Domingo de los Tsachilas</c:v>
                </c:pt>
                <c:pt idx="9">
                  <c:v>Manabí</c:v>
                </c:pt>
                <c:pt idx="10">
                  <c:v>Cotopaxi</c:v>
                </c:pt>
                <c:pt idx="11">
                  <c:v>Bolívar</c:v>
                </c:pt>
                <c:pt idx="12">
                  <c:v>Los Ríos</c:v>
                </c:pt>
                <c:pt idx="13">
                  <c:v>Chimborazo</c:v>
                </c:pt>
                <c:pt idx="14">
                  <c:v>Cañar</c:v>
                </c:pt>
                <c:pt idx="15">
                  <c:v>Pastaza</c:v>
                </c:pt>
                <c:pt idx="16">
                  <c:v>Carchi</c:v>
                </c:pt>
                <c:pt idx="17">
                  <c:v>Francisco de Orellana</c:v>
                </c:pt>
                <c:pt idx="18">
                  <c:v>Loja</c:v>
                </c:pt>
                <c:pt idx="19">
                  <c:v>Sucumbíos</c:v>
                </c:pt>
                <c:pt idx="20">
                  <c:v>Esmeraldas</c:v>
                </c:pt>
                <c:pt idx="21">
                  <c:v>Morona Santiago</c:v>
                </c:pt>
                <c:pt idx="22">
                  <c:v>Zamora Chinchipe</c:v>
                </c:pt>
                <c:pt idx="23">
                  <c:v>Napo</c:v>
                </c:pt>
              </c:strCache>
            </c:strRef>
          </c:cat>
          <c:val>
            <c:numRef>
              <c:f>'Indice por pilar'!$AS$9:$AS$32</c:f>
              <c:numCache>
                <c:formatCode>_ * #,##0.0_ ;_ * \-#,##0.0_ ;_ * "-"??_ ;_ @_ </c:formatCode>
                <c:ptCount val="24"/>
                <c:pt idx="0">
                  <c:v>78.9771544013276</c:v>
                </c:pt>
                <c:pt idx="1">
                  <c:v>58.98229585743049</c:v>
                </c:pt>
                <c:pt idx="2">
                  <c:v>40.82796800096057</c:v>
                </c:pt>
                <c:pt idx="3">
                  <c:v>39.47853560599166</c:v>
                </c:pt>
                <c:pt idx="4">
                  <c:v>36.21575353940202</c:v>
                </c:pt>
                <c:pt idx="5">
                  <c:v>34.23707676355833</c:v>
                </c:pt>
                <c:pt idx="6">
                  <c:v>32.33778524765573</c:v>
                </c:pt>
                <c:pt idx="7">
                  <c:v>31.57412059990848</c:v>
                </c:pt>
                <c:pt idx="8">
                  <c:v>30.46826999357467</c:v>
                </c:pt>
                <c:pt idx="9">
                  <c:v>28.73776804672069</c:v>
                </c:pt>
                <c:pt idx="10">
                  <c:v>27.08603546672835</c:v>
                </c:pt>
                <c:pt idx="11">
                  <c:v>22.66008078136271</c:v>
                </c:pt>
                <c:pt idx="12">
                  <c:v>22.64738065283146</c:v>
                </c:pt>
                <c:pt idx="13">
                  <c:v>21.75322091809367</c:v>
                </c:pt>
                <c:pt idx="14">
                  <c:v>21.21182844652922</c:v>
                </c:pt>
                <c:pt idx="15">
                  <c:v>21.14411711949392</c:v>
                </c:pt>
                <c:pt idx="16">
                  <c:v>20.20900935542753</c:v>
                </c:pt>
                <c:pt idx="17">
                  <c:v>20.11663487743555</c:v>
                </c:pt>
                <c:pt idx="18">
                  <c:v>19.59609934556007</c:v>
                </c:pt>
                <c:pt idx="19">
                  <c:v>19.34117138245728</c:v>
                </c:pt>
                <c:pt idx="20">
                  <c:v>16.91621157886869</c:v>
                </c:pt>
                <c:pt idx="21">
                  <c:v>16.44531822450781</c:v>
                </c:pt>
                <c:pt idx="22">
                  <c:v>15.69305166942673</c:v>
                </c:pt>
                <c:pt idx="23">
                  <c:v>12.94602047139339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080661336"/>
        <c:axId val="2074656168"/>
      </c:barChart>
      <c:catAx>
        <c:axId val="-208066133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2074656168"/>
        <c:crosses val="autoZero"/>
        <c:auto val="1"/>
        <c:lblAlgn val="ctr"/>
        <c:lblOffset val="100"/>
        <c:noMultiLvlLbl val="0"/>
      </c:catAx>
      <c:valAx>
        <c:axId val="2074656168"/>
        <c:scaling>
          <c:orientation val="minMax"/>
        </c:scaling>
        <c:delete val="1"/>
        <c:axPos val="b"/>
        <c:numFmt formatCode="_ * #,##0.0_ ;_ * \-#,##0.0_ ;_ * &quot;-&quot;??_ ;_ @_ " sourceLinked="1"/>
        <c:majorTickMark val="out"/>
        <c:minorTickMark val="none"/>
        <c:tickLblPos val="nextTo"/>
        <c:crossAx val="-2080661336"/>
        <c:crosses val="autoZero"/>
        <c:crossBetween val="between"/>
      </c:valAx>
    </c:plotArea>
    <c:plotVisOnly val="1"/>
    <c:dispBlanksAs val="gap"/>
    <c:showDLblsOverMax val="0"/>
  </c:chart>
  <c:spPr>
    <a:solidFill>
      <a:srgbClr val="F1FFE9"/>
    </a:solidFill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/>
              <a:t>Urbanización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55464824951725"/>
          <c:y val="0.102439024390244"/>
          <c:w val="0.612409977452042"/>
          <c:h val="0.857926829268293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'Indice por pilar'!$AX$9:$AX$32</c:f>
              <c:strCache>
                <c:ptCount val="24"/>
                <c:pt idx="0">
                  <c:v>Pichincha</c:v>
                </c:pt>
                <c:pt idx="1">
                  <c:v>Guayas</c:v>
                </c:pt>
                <c:pt idx="2">
                  <c:v>Galápagos</c:v>
                </c:pt>
                <c:pt idx="3">
                  <c:v>Azuay</c:v>
                </c:pt>
                <c:pt idx="4">
                  <c:v>El Oro</c:v>
                </c:pt>
                <c:pt idx="5">
                  <c:v>Tungurahua</c:v>
                </c:pt>
                <c:pt idx="6">
                  <c:v>Imbabura</c:v>
                </c:pt>
                <c:pt idx="7">
                  <c:v>Los Ríos</c:v>
                </c:pt>
                <c:pt idx="8">
                  <c:v>Santo Domingo de los Tsachilas</c:v>
                </c:pt>
                <c:pt idx="9">
                  <c:v>Manabí</c:v>
                </c:pt>
                <c:pt idx="10">
                  <c:v>Carchi</c:v>
                </c:pt>
                <c:pt idx="11">
                  <c:v>Cañar</c:v>
                </c:pt>
                <c:pt idx="12">
                  <c:v>Santa Elena</c:v>
                </c:pt>
                <c:pt idx="13">
                  <c:v>Esmeraldas</c:v>
                </c:pt>
                <c:pt idx="14">
                  <c:v>Napo</c:v>
                </c:pt>
                <c:pt idx="15">
                  <c:v>Cotopaxi</c:v>
                </c:pt>
                <c:pt idx="16">
                  <c:v>Loja</c:v>
                </c:pt>
                <c:pt idx="17">
                  <c:v>Chimborazo</c:v>
                </c:pt>
                <c:pt idx="18">
                  <c:v>Bolívar</c:v>
                </c:pt>
                <c:pt idx="19">
                  <c:v>Pastaza</c:v>
                </c:pt>
                <c:pt idx="20">
                  <c:v>Sucumbíos</c:v>
                </c:pt>
                <c:pt idx="21">
                  <c:v>Zamora Chinchipe</c:v>
                </c:pt>
                <c:pt idx="22">
                  <c:v>Francisco de Orellana</c:v>
                </c:pt>
                <c:pt idx="23">
                  <c:v>Morona Santiago</c:v>
                </c:pt>
              </c:strCache>
            </c:strRef>
          </c:cat>
          <c:val>
            <c:numRef>
              <c:f>'Indice por pilar'!$AY$9:$AY$32</c:f>
              <c:numCache>
                <c:formatCode>_ * #,##0.0_ ;_ * \-#,##0.0_ ;_ * "-"??_ ;_ @_ </c:formatCode>
                <c:ptCount val="24"/>
                <c:pt idx="0">
                  <c:v>87.62044609675242</c:v>
                </c:pt>
                <c:pt idx="1">
                  <c:v>67.78511180867575</c:v>
                </c:pt>
                <c:pt idx="2">
                  <c:v>64.84924725904107</c:v>
                </c:pt>
                <c:pt idx="3">
                  <c:v>59.37432869738547</c:v>
                </c:pt>
                <c:pt idx="4">
                  <c:v>59.21000952035396</c:v>
                </c:pt>
                <c:pt idx="5">
                  <c:v>59.12243236578462</c:v>
                </c:pt>
                <c:pt idx="6">
                  <c:v>51.50562543229583</c:v>
                </c:pt>
                <c:pt idx="7">
                  <c:v>49.50248511124806</c:v>
                </c:pt>
                <c:pt idx="8">
                  <c:v>47.22492218955927</c:v>
                </c:pt>
                <c:pt idx="9">
                  <c:v>46.53815482503864</c:v>
                </c:pt>
                <c:pt idx="10">
                  <c:v>44.3284067833315</c:v>
                </c:pt>
                <c:pt idx="11">
                  <c:v>42.96157390031652</c:v>
                </c:pt>
                <c:pt idx="12">
                  <c:v>41.38563246382679</c:v>
                </c:pt>
                <c:pt idx="13">
                  <c:v>38.98504432526177</c:v>
                </c:pt>
                <c:pt idx="14">
                  <c:v>38.46113962073153</c:v>
                </c:pt>
                <c:pt idx="15">
                  <c:v>38.21847072435474</c:v>
                </c:pt>
                <c:pt idx="16">
                  <c:v>36.83552265335491</c:v>
                </c:pt>
                <c:pt idx="17">
                  <c:v>34.42597127774248</c:v>
                </c:pt>
                <c:pt idx="18">
                  <c:v>32.90139450923235</c:v>
                </c:pt>
                <c:pt idx="19">
                  <c:v>29.59797928085989</c:v>
                </c:pt>
                <c:pt idx="20">
                  <c:v>29.10621334262052</c:v>
                </c:pt>
                <c:pt idx="21">
                  <c:v>28.60287080667479</c:v>
                </c:pt>
                <c:pt idx="22">
                  <c:v>27.9170006878151</c:v>
                </c:pt>
                <c:pt idx="23">
                  <c:v>18.55617074566325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080760056"/>
        <c:axId val="-2081050280"/>
      </c:barChart>
      <c:catAx>
        <c:axId val="-208076005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-2081050280"/>
        <c:crosses val="autoZero"/>
        <c:auto val="1"/>
        <c:lblAlgn val="ctr"/>
        <c:lblOffset val="100"/>
        <c:noMultiLvlLbl val="0"/>
      </c:catAx>
      <c:valAx>
        <c:axId val="-2081050280"/>
        <c:scaling>
          <c:orientation val="minMax"/>
        </c:scaling>
        <c:delete val="1"/>
        <c:axPos val="b"/>
        <c:numFmt formatCode="_ * #,##0.0_ ;_ * \-#,##0.0_ ;_ * &quot;-&quot;??_ ;_ @_ " sourceLinked="1"/>
        <c:majorTickMark val="out"/>
        <c:minorTickMark val="none"/>
        <c:tickLblPos val="nextTo"/>
        <c:crossAx val="-2080760056"/>
        <c:crosses val="autoZero"/>
        <c:crossBetween val="between"/>
      </c:valAx>
    </c:plotArea>
    <c:plotVisOnly val="1"/>
    <c:dispBlanksAs val="gap"/>
    <c:showDLblsOverMax val="0"/>
  </c:chart>
  <c:spPr>
    <a:solidFill>
      <a:srgbClr val="FFFFE9"/>
    </a:solidFill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/>
              <a:t>Desarrollo</a:t>
            </a:r>
            <a:r>
              <a:rPr lang="es-ES" baseline="0"/>
              <a:t> Integral de las personas</a:t>
            </a:r>
            <a:endParaRPr lang="es-E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75210345305817"/>
          <c:y val="0.110805509552891"/>
          <c:w val="0.590817524598415"/>
          <c:h val="0.850884074910205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'Indice por pilar'!$BD$9:$BD$32</c:f>
              <c:strCache>
                <c:ptCount val="24"/>
                <c:pt idx="0">
                  <c:v>Galápagos</c:v>
                </c:pt>
                <c:pt idx="1">
                  <c:v>Pichincha</c:v>
                </c:pt>
                <c:pt idx="2">
                  <c:v>Tungurahua</c:v>
                </c:pt>
                <c:pt idx="3">
                  <c:v>Imbabura</c:v>
                </c:pt>
                <c:pt idx="4">
                  <c:v>El Oro</c:v>
                </c:pt>
                <c:pt idx="5">
                  <c:v>Azuay</c:v>
                </c:pt>
                <c:pt idx="6">
                  <c:v>Loja</c:v>
                </c:pt>
                <c:pt idx="7">
                  <c:v>Cañar</c:v>
                </c:pt>
                <c:pt idx="8">
                  <c:v>Chimborazo</c:v>
                </c:pt>
                <c:pt idx="9">
                  <c:v>Pastaza</c:v>
                </c:pt>
                <c:pt idx="10">
                  <c:v>Zamora Chinchipe</c:v>
                </c:pt>
                <c:pt idx="11">
                  <c:v>Santa Elena</c:v>
                </c:pt>
                <c:pt idx="12">
                  <c:v>Los Ríos</c:v>
                </c:pt>
                <c:pt idx="13">
                  <c:v>Francisco de Orellana</c:v>
                </c:pt>
                <c:pt idx="14">
                  <c:v>Manabí</c:v>
                </c:pt>
                <c:pt idx="15">
                  <c:v>Morona Santiago</c:v>
                </c:pt>
                <c:pt idx="16">
                  <c:v>Esmeraldas</c:v>
                </c:pt>
                <c:pt idx="17">
                  <c:v>Bolívar</c:v>
                </c:pt>
                <c:pt idx="18">
                  <c:v>Santo Domingo de los Tsachilas</c:v>
                </c:pt>
                <c:pt idx="19">
                  <c:v>Napo</c:v>
                </c:pt>
                <c:pt idx="20">
                  <c:v>Guayas</c:v>
                </c:pt>
                <c:pt idx="21">
                  <c:v>Carchi</c:v>
                </c:pt>
                <c:pt idx="22">
                  <c:v>Cotopaxi</c:v>
                </c:pt>
                <c:pt idx="23">
                  <c:v>Sucumbíos</c:v>
                </c:pt>
              </c:strCache>
            </c:strRef>
          </c:cat>
          <c:val>
            <c:numRef>
              <c:f>'Indice por pilar'!$BE$9:$BE$32</c:f>
              <c:numCache>
                <c:formatCode>_ * #,##0.0_ ;_ * \-#,##0.0_ ;_ * "-"??_ ;_ @_ </c:formatCode>
                <c:ptCount val="24"/>
                <c:pt idx="0">
                  <c:v>79.96439239955559</c:v>
                </c:pt>
                <c:pt idx="1">
                  <c:v>76.77319105866111</c:v>
                </c:pt>
                <c:pt idx="2">
                  <c:v>61.1276216475402</c:v>
                </c:pt>
                <c:pt idx="3">
                  <c:v>61.06048231796072</c:v>
                </c:pt>
                <c:pt idx="4">
                  <c:v>58.55191358383281</c:v>
                </c:pt>
                <c:pt idx="5">
                  <c:v>55.43428888442629</c:v>
                </c:pt>
                <c:pt idx="6">
                  <c:v>51.91774783100318</c:v>
                </c:pt>
                <c:pt idx="7">
                  <c:v>47.99667793666368</c:v>
                </c:pt>
                <c:pt idx="8">
                  <c:v>45.83813372111444</c:v>
                </c:pt>
                <c:pt idx="9">
                  <c:v>43.96565505729857</c:v>
                </c:pt>
                <c:pt idx="10">
                  <c:v>43.10298703185851</c:v>
                </c:pt>
                <c:pt idx="11">
                  <c:v>42.95735343513683</c:v>
                </c:pt>
                <c:pt idx="12">
                  <c:v>40.47153558204841</c:v>
                </c:pt>
                <c:pt idx="13">
                  <c:v>40.2236114625713</c:v>
                </c:pt>
                <c:pt idx="14">
                  <c:v>37.12023902725923</c:v>
                </c:pt>
                <c:pt idx="15">
                  <c:v>36.47190113998091</c:v>
                </c:pt>
                <c:pt idx="16">
                  <c:v>35.44977004610513</c:v>
                </c:pt>
                <c:pt idx="17">
                  <c:v>34.38189172447467</c:v>
                </c:pt>
                <c:pt idx="18">
                  <c:v>34.08846794997045</c:v>
                </c:pt>
                <c:pt idx="19">
                  <c:v>33.86013738458637</c:v>
                </c:pt>
                <c:pt idx="20">
                  <c:v>32.86851474860063</c:v>
                </c:pt>
                <c:pt idx="21">
                  <c:v>29.35427816295818</c:v>
                </c:pt>
                <c:pt idx="22">
                  <c:v>28.02796629675439</c:v>
                </c:pt>
                <c:pt idx="23">
                  <c:v>14.47782042151176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084233912"/>
        <c:axId val="2125929800"/>
      </c:barChart>
      <c:catAx>
        <c:axId val="-208423391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2125929800"/>
        <c:crosses val="autoZero"/>
        <c:auto val="1"/>
        <c:lblAlgn val="ctr"/>
        <c:lblOffset val="100"/>
        <c:noMultiLvlLbl val="0"/>
      </c:catAx>
      <c:valAx>
        <c:axId val="2125929800"/>
        <c:scaling>
          <c:orientation val="minMax"/>
        </c:scaling>
        <c:delete val="1"/>
        <c:axPos val="b"/>
        <c:numFmt formatCode="_ * #,##0.0_ ;_ * \-#,##0.0_ ;_ * &quot;-&quot;??_ ;_ @_ " sourceLinked="1"/>
        <c:majorTickMark val="out"/>
        <c:minorTickMark val="none"/>
        <c:tickLblPos val="nextTo"/>
        <c:crossAx val="-2084233912"/>
        <c:crosses val="autoZero"/>
        <c:crossBetween val="between"/>
      </c:valAx>
    </c:plotArea>
    <c:plotVisOnly val="1"/>
    <c:dispBlanksAs val="gap"/>
    <c:showDLblsOverMax val="0"/>
  </c:chart>
  <c:spPr>
    <a:solidFill>
      <a:srgbClr val="FFFFE9"/>
    </a:solidFill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/>
              <a:t>Gestión,</a:t>
            </a:r>
            <a:r>
              <a:rPr lang="es-ES" baseline="0"/>
              <a:t> gobierno e intituciones </a:t>
            </a:r>
            <a:endParaRPr lang="es-E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56573997720316"/>
          <c:y val="0.0955078198440437"/>
          <c:w val="0.611141236172157"/>
          <c:h val="0.86640623972735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'Indice por pilar'!$BJ$9:$BJ$32</c:f>
              <c:strCache>
                <c:ptCount val="24"/>
                <c:pt idx="0">
                  <c:v>Galápagos</c:v>
                </c:pt>
                <c:pt idx="1">
                  <c:v>Pichincha</c:v>
                </c:pt>
                <c:pt idx="2">
                  <c:v>Francisco de Orellana</c:v>
                </c:pt>
                <c:pt idx="3">
                  <c:v>Morona Santiago</c:v>
                </c:pt>
                <c:pt idx="4">
                  <c:v>Imbabura</c:v>
                </c:pt>
                <c:pt idx="5">
                  <c:v>El Oro</c:v>
                </c:pt>
                <c:pt idx="6">
                  <c:v>Zamora Chinchipe</c:v>
                </c:pt>
                <c:pt idx="7">
                  <c:v>Santa Elena</c:v>
                </c:pt>
                <c:pt idx="8">
                  <c:v>Napo</c:v>
                </c:pt>
                <c:pt idx="9">
                  <c:v>Cañar</c:v>
                </c:pt>
                <c:pt idx="10">
                  <c:v>Azuay</c:v>
                </c:pt>
                <c:pt idx="11">
                  <c:v>Chimborazo</c:v>
                </c:pt>
                <c:pt idx="12">
                  <c:v>Pastaza</c:v>
                </c:pt>
                <c:pt idx="13">
                  <c:v>Tungurahua</c:v>
                </c:pt>
                <c:pt idx="14">
                  <c:v>Guayas</c:v>
                </c:pt>
                <c:pt idx="15">
                  <c:v>Sucumbíos</c:v>
                </c:pt>
                <c:pt idx="16">
                  <c:v>Carchi</c:v>
                </c:pt>
                <c:pt idx="17">
                  <c:v>Santo Domingo de los Tsachilas</c:v>
                </c:pt>
                <c:pt idx="18">
                  <c:v>Los Ríos</c:v>
                </c:pt>
                <c:pt idx="19">
                  <c:v>Loja</c:v>
                </c:pt>
                <c:pt idx="20">
                  <c:v>Cotopaxi</c:v>
                </c:pt>
                <c:pt idx="21">
                  <c:v>Manabí</c:v>
                </c:pt>
                <c:pt idx="22">
                  <c:v>Esmeraldas</c:v>
                </c:pt>
                <c:pt idx="23">
                  <c:v>Bolívar</c:v>
                </c:pt>
              </c:strCache>
            </c:strRef>
          </c:cat>
          <c:val>
            <c:numRef>
              <c:f>'Indice por pilar'!$BK$9:$BK$32</c:f>
              <c:numCache>
                <c:formatCode>_ * #,##0.0_ ;_ * \-#,##0.0_ ;_ * "-"??_ ;_ @_ </c:formatCode>
                <c:ptCount val="24"/>
                <c:pt idx="0">
                  <c:v>74.0296819254427</c:v>
                </c:pt>
                <c:pt idx="1">
                  <c:v>63.62260784146334</c:v>
                </c:pt>
                <c:pt idx="2">
                  <c:v>54.66480289912052</c:v>
                </c:pt>
                <c:pt idx="3">
                  <c:v>54.19838345869776</c:v>
                </c:pt>
                <c:pt idx="4">
                  <c:v>52.93020795114004</c:v>
                </c:pt>
                <c:pt idx="5">
                  <c:v>47.67928558344286</c:v>
                </c:pt>
                <c:pt idx="6">
                  <c:v>47.0622603982567</c:v>
                </c:pt>
                <c:pt idx="7">
                  <c:v>44.61295658052578</c:v>
                </c:pt>
                <c:pt idx="8">
                  <c:v>42.49480710233983</c:v>
                </c:pt>
                <c:pt idx="9">
                  <c:v>42.12427103370187</c:v>
                </c:pt>
                <c:pt idx="10">
                  <c:v>41.71238033086783</c:v>
                </c:pt>
                <c:pt idx="11">
                  <c:v>39.26573611692773</c:v>
                </c:pt>
                <c:pt idx="12">
                  <c:v>38.24696380787781</c:v>
                </c:pt>
                <c:pt idx="13">
                  <c:v>37.18486295277851</c:v>
                </c:pt>
                <c:pt idx="14">
                  <c:v>32.59011230564505</c:v>
                </c:pt>
                <c:pt idx="15">
                  <c:v>31.66239219958381</c:v>
                </c:pt>
                <c:pt idx="16">
                  <c:v>30.96916358997889</c:v>
                </c:pt>
                <c:pt idx="17">
                  <c:v>29.45434410500093</c:v>
                </c:pt>
                <c:pt idx="18">
                  <c:v>29.25511159734895</c:v>
                </c:pt>
                <c:pt idx="19">
                  <c:v>28.38672485599441</c:v>
                </c:pt>
                <c:pt idx="20">
                  <c:v>22.79152410968167</c:v>
                </c:pt>
                <c:pt idx="21">
                  <c:v>21.12243668372768</c:v>
                </c:pt>
                <c:pt idx="22">
                  <c:v>20.1317255551487</c:v>
                </c:pt>
                <c:pt idx="23">
                  <c:v>15.105123117856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081276232"/>
        <c:axId val="-2080447656"/>
      </c:barChart>
      <c:catAx>
        <c:axId val="-208127623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-2080447656"/>
        <c:crosses val="autoZero"/>
        <c:auto val="1"/>
        <c:lblAlgn val="ctr"/>
        <c:lblOffset val="100"/>
        <c:noMultiLvlLbl val="0"/>
      </c:catAx>
      <c:valAx>
        <c:axId val="-2080447656"/>
        <c:scaling>
          <c:orientation val="minMax"/>
        </c:scaling>
        <c:delete val="1"/>
        <c:axPos val="b"/>
        <c:numFmt formatCode="_ * #,##0.0_ ;_ * \-#,##0.0_ ;_ * &quot;-&quot;??_ ;_ @_ " sourceLinked="1"/>
        <c:majorTickMark val="out"/>
        <c:minorTickMark val="none"/>
        <c:tickLblPos val="nextTo"/>
        <c:crossAx val="-2081276232"/>
        <c:crosses val="autoZero"/>
        <c:crossBetween val="between"/>
      </c:valAx>
    </c:plotArea>
    <c:plotVisOnly val="1"/>
    <c:dispBlanksAs val="gap"/>
    <c:showDLblsOverMax val="0"/>
  </c:chart>
  <c:spPr>
    <a:solidFill>
      <a:srgbClr val="FFFFE9"/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image" Target="../media/image1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609600</xdr:colOff>
      <xdr:row>0</xdr:row>
      <xdr:rowOff>114299</xdr:rowOff>
    </xdr:from>
    <xdr:to>
      <xdr:col>8</xdr:col>
      <xdr:colOff>25400</xdr:colOff>
      <xdr:row>6</xdr:row>
      <xdr:rowOff>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0600" y="114299"/>
          <a:ext cx="4368800" cy="1028701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11</xdr:row>
      <xdr:rowOff>38100</xdr:rowOff>
    </xdr:from>
    <xdr:to>
      <xdr:col>11</xdr:col>
      <xdr:colOff>735958</xdr:colOff>
      <xdr:row>32</xdr:row>
      <xdr:rowOff>88900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7600" y="2235200"/>
          <a:ext cx="3618858" cy="4051300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63500</xdr:colOff>
      <xdr:row>25</xdr:row>
      <xdr:rowOff>50800</xdr:rowOff>
    </xdr:from>
    <xdr:to>
      <xdr:col>12</xdr:col>
      <xdr:colOff>495300</xdr:colOff>
      <xdr:row>34</xdr:row>
      <xdr:rowOff>12700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18500" y="5016500"/>
          <a:ext cx="2082800" cy="1676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6</xdr:row>
      <xdr:rowOff>12700</xdr:rowOff>
    </xdr:from>
    <xdr:to>
      <xdr:col>7</xdr:col>
      <xdr:colOff>393700</xdr:colOff>
      <xdr:row>28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25400</xdr:rowOff>
    </xdr:from>
    <xdr:to>
      <xdr:col>14</xdr:col>
      <xdr:colOff>88900</xdr:colOff>
      <xdr:row>28</xdr:row>
      <xdr:rowOff>101600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7</xdr:col>
      <xdr:colOff>431800</xdr:colOff>
      <xdr:row>52</xdr:row>
      <xdr:rowOff>169333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14</xdr:col>
      <xdr:colOff>186267</xdr:colOff>
      <xdr:row>52</xdr:row>
      <xdr:rowOff>126999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12700</xdr:colOff>
      <xdr:row>6</xdr:row>
      <xdr:rowOff>12700</xdr:rowOff>
    </xdr:from>
    <xdr:to>
      <xdr:col>20</xdr:col>
      <xdr:colOff>774700</xdr:colOff>
      <xdr:row>28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7</xdr:col>
      <xdr:colOff>419100</xdr:colOff>
      <xdr:row>76</xdr:row>
      <xdr:rowOff>139700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14</xdr:col>
      <xdr:colOff>220135</xdr:colOff>
      <xdr:row>76</xdr:row>
      <xdr:rowOff>177800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25400</xdr:colOff>
      <xdr:row>30</xdr:row>
      <xdr:rowOff>0</xdr:rowOff>
    </xdr:from>
    <xdr:to>
      <xdr:col>20</xdr:col>
      <xdr:colOff>757766</xdr:colOff>
      <xdr:row>52</xdr:row>
      <xdr:rowOff>118533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7</xdr:col>
      <xdr:colOff>393700</xdr:colOff>
      <xdr:row>102</xdr:row>
      <xdr:rowOff>38100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12700</xdr:colOff>
      <xdr:row>54</xdr:row>
      <xdr:rowOff>25400</xdr:rowOff>
    </xdr:from>
    <xdr:to>
      <xdr:col>20</xdr:col>
      <xdr:colOff>787400</xdr:colOff>
      <xdr:row>76</xdr:row>
      <xdr:rowOff>139700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79</xdr:row>
      <xdr:rowOff>12700</xdr:rowOff>
    </xdr:from>
    <xdr:to>
      <xdr:col>14</xdr:col>
      <xdr:colOff>355600</xdr:colOff>
      <xdr:row>102</xdr:row>
      <xdr:rowOff>50800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762000</xdr:colOff>
      <xdr:row>79</xdr:row>
      <xdr:rowOff>63500</xdr:rowOff>
    </xdr:from>
    <xdr:to>
      <xdr:col>21</xdr:col>
      <xdr:colOff>660400</xdr:colOff>
      <xdr:row>102</xdr:row>
      <xdr:rowOff>38100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431801</xdr:colOff>
      <xdr:row>0</xdr:row>
      <xdr:rowOff>12700</xdr:rowOff>
    </xdr:from>
    <xdr:to>
      <xdr:col>6</xdr:col>
      <xdr:colOff>787400</xdr:colOff>
      <xdr:row>4</xdr:row>
      <xdr:rowOff>156632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57301" y="12700"/>
          <a:ext cx="4483099" cy="1109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0</xdr:rowOff>
    </xdr:from>
    <xdr:to>
      <xdr:col>8</xdr:col>
      <xdr:colOff>812800</xdr:colOff>
      <xdr:row>4</xdr:row>
      <xdr:rowOff>50799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0"/>
          <a:ext cx="3454400" cy="81279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14</xdr:col>
      <xdr:colOff>584200</xdr:colOff>
      <xdr:row>4</xdr:row>
      <xdr:rowOff>50799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9500" y="0"/>
          <a:ext cx="3454400" cy="81279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736600</xdr:colOff>
      <xdr:row>4</xdr:row>
      <xdr:rowOff>50799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0900" y="0"/>
          <a:ext cx="3454400" cy="812799"/>
        </a:xfrm>
        <a:prstGeom prst="rect">
          <a:avLst/>
        </a:prstGeom>
      </xdr:spPr>
    </xdr:pic>
    <xdr:clientData/>
  </xdr:twoCellAnchor>
  <xdr:twoCellAnchor editAs="oneCell">
    <xdr:from>
      <xdr:col>23</xdr:col>
      <xdr:colOff>38100</xdr:colOff>
      <xdr:row>0</xdr:row>
      <xdr:rowOff>50800</xdr:rowOff>
    </xdr:from>
    <xdr:to>
      <xdr:col>26</xdr:col>
      <xdr:colOff>723900</xdr:colOff>
      <xdr:row>4</xdr:row>
      <xdr:rowOff>101599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16100" y="50800"/>
          <a:ext cx="3454400" cy="812799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0</xdr:row>
      <xdr:rowOff>0</xdr:rowOff>
    </xdr:from>
    <xdr:to>
      <xdr:col>32</xdr:col>
      <xdr:colOff>736600</xdr:colOff>
      <xdr:row>4</xdr:row>
      <xdr:rowOff>50799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15100" y="0"/>
          <a:ext cx="3454400" cy="812799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0</xdr:row>
      <xdr:rowOff>0</xdr:rowOff>
    </xdr:from>
    <xdr:to>
      <xdr:col>38</xdr:col>
      <xdr:colOff>711200</xdr:colOff>
      <xdr:row>4</xdr:row>
      <xdr:rowOff>50799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63300" y="0"/>
          <a:ext cx="3454400" cy="812799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0</xdr:row>
      <xdr:rowOff>0</xdr:rowOff>
    </xdr:from>
    <xdr:to>
      <xdr:col>44</xdr:col>
      <xdr:colOff>711200</xdr:colOff>
      <xdr:row>4</xdr:row>
      <xdr:rowOff>50799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62300" y="0"/>
          <a:ext cx="3454400" cy="812799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0</xdr:row>
      <xdr:rowOff>0</xdr:rowOff>
    </xdr:from>
    <xdr:to>
      <xdr:col>50</xdr:col>
      <xdr:colOff>609600</xdr:colOff>
      <xdr:row>4</xdr:row>
      <xdr:rowOff>50799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23200" y="0"/>
          <a:ext cx="3454400" cy="812799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0</xdr:row>
      <xdr:rowOff>0</xdr:rowOff>
    </xdr:from>
    <xdr:to>
      <xdr:col>56</xdr:col>
      <xdr:colOff>622300</xdr:colOff>
      <xdr:row>4</xdr:row>
      <xdr:rowOff>50799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11100" y="0"/>
          <a:ext cx="3454400" cy="812799"/>
        </a:xfrm>
        <a:prstGeom prst="rect">
          <a:avLst/>
        </a:prstGeom>
      </xdr:spPr>
    </xdr:pic>
    <xdr:clientData/>
  </xdr:twoCellAnchor>
  <xdr:twoCellAnchor editAs="oneCell">
    <xdr:from>
      <xdr:col>59</xdr:col>
      <xdr:colOff>0</xdr:colOff>
      <xdr:row>0</xdr:row>
      <xdr:rowOff>0</xdr:rowOff>
    </xdr:from>
    <xdr:to>
      <xdr:col>62</xdr:col>
      <xdr:colOff>571500</xdr:colOff>
      <xdr:row>4</xdr:row>
      <xdr:rowOff>50799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73600" y="0"/>
          <a:ext cx="3454400" cy="812799"/>
        </a:xfrm>
        <a:prstGeom prst="rect">
          <a:avLst/>
        </a:prstGeom>
      </xdr:spPr>
    </xdr:pic>
    <xdr:clientData/>
  </xdr:twoCellAnchor>
  <xdr:twoCellAnchor editAs="oneCell">
    <xdr:from>
      <xdr:col>65</xdr:col>
      <xdr:colOff>0</xdr:colOff>
      <xdr:row>0</xdr:row>
      <xdr:rowOff>0</xdr:rowOff>
    </xdr:from>
    <xdr:to>
      <xdr:col>68</xdr:col>
      <xdr:colOff>609600</xdr:colOff>
      <xdr:row>4</xdr:row>
      <xdr:rowOff>50799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37700" y="0"/>
          <a:ext cx="3454400" cy="812799"/>
        </a:xfrm>
        <a:prstGeom prst="rect">
          <a:avLst/>
        </a:prstGeom>
      </xdr:spPr>
    </xdr:pic>
    <xdr:clientData/>
  </xdr:twoCellAnchor>
  <xdr:twoCellAnchor editAs="oneCell">
    <xdr:from>
      <xdr:col>71</xdr:col>
      <xdr:colOff>0</xdr:colOff>
      <xdr:row>0</xdr:row>
      <xdr:rowOff>0</xdr:rowOff>
    </xdr:from>
    <xdr:to>
      <xdr:col>74</xdr:col>
      <xdr:colOff>558800</xdr:colOff>
      <xdr:row>4</xdr:row>
      <xdr:rowOff>50799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51000" y="0"/>
          <a:ext cx="3454400" cy="812799"/>
        </a:xfrm>
        <a:prstGeom prst="rect">
          <a:avLst/>
        </a:prstGeom>
      </xdr:spPr>
    </xdr:pic>
    <xdr:clientData/>
  </xdr:twoCellAnchor>
  <xdr:twoCellAnchor editAs="oneCell">
    <xdr:from>
      <xdr:col>77</xdr:col>
      <xdr:colOff>0</xdr:colOff>
      <xdr:row>0</xdr:row>
      <xdr:rowOff>0</xdr:rowOff>
    </xdr:from>
    <xdr:to>
      <xdr:col>80</xdr:col>
      <xdr:colOff>596900</xdr:colOff>
      <xdr:row>4</xdr:row>
      <xdr:rowOff>50799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51600" y="0"/>
          <a:ext cx="3454400" cy="8127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541866</xdr:colOff>
      <xdr:row>1</xdr:row>
      <xdr:rowOff>118535</xdr:rowOff>
    </xdr:from>
    <xdr:to>
      <xdr:col>1</xdr:col>
      <xdr:colOff>1651000</xdr:colOff>
      <xdr:row>4</xdr:row>
      <xdr:rowOff>16935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866" y="313268"/>
          <a:ext cx="3005667" cy="889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1024464</xdr:colOff>
      <xdr:row>3</xdr:row>
      <xdr:rowOff>321732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174064" cy="982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10</xdr:row>
      <xdr:rowOff>50800</xdr:rowOff>
    </xdr:from>
    <xdr:to>
      <xdr:col>14</xdr:col>
      <xdr:colOff>0</xdr:colOff>
      <xdr:row>33</xdr:row>
      <xdr:rowOff>241300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25400</xdr:rowOff>
    </xdr:from>
    <xdr:to>
      <xdr:col>6</xdr:col>
      <xdr:colOff>495300</xdr:colOff>
      <xdr:row>33</xdr:row>
      <xdr:rowOff>228600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127000</xdr:colOff>
      <xdr:row>0</xdr:row>
      <xdr:rowOff>0</xdr:rowOff>
    </xdr:from>
    <xdr:to>
      <xdr:col>3</xdr:col>
      <xdr:colOff>0</xdr:colOff>
      <xdr:row>4</xdr:row>
      <xdr:rowOff>50799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0"/>
          <a:ext cx="3746500" cy="10667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4</xdr:row>
      <xdr:rowOff>114300</xdr:rowOff>
    </xdr:from>
    <xdr:to>
      <xdr:col>14</xdr:col>
      <xdr:colOff>800100</xdr:colOff>
      <xdr:row>39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444500</xdr:colOff>
      <xdr:row>5</xdr:row>
      <xdr:rowOff>114299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3746500" cy="10667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33867</xdr:colOff>
      <xdr:row>12</xdr:row>
      <xdr:rowOff>50800</xdr:rowOff>
    </xdr:from>
    <xdr:to>
      <xdr:col>13</xdr:col>
      <xdr:colOff>931333</xdr:colOff>
      <xdr:row>43</xdr:row>
      <xdr:rowOff>16934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876300</xdr:colOff>
      <xdr:row>5</xdr:row>
      <xdr:rowOff>12699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" y="0"/>
          <a:ext cx="3746500" cy="10667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/Documents/MIPRO/INDUSTRIA%20DE%20SERVICIOS/Propuesta%20de%20ajustes%20a%20indicador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NDERACIÓN"/>
      <sheetName val="PROMEDIO"/>
      <sheetName val="BASE SIN PONDERAR "/>
      <sheetName val="Hoja6"/>
      <sheetName val="BASE ORGINAL SIN PONDERAR"/>
      <sheetName val="BASE PONDERADA"/>
      <sheetName val="Hoja1"/>
    </sheetNames>
    <sheetDataSet>
      <sheetData sheetId="0">
        <row r="22">
          <cell r="B22" t="str">
            <v>Desempeño Económico</v>
          </cell>
          <cell r="C22">
            <v>9</v>
          </cell>
          <cell r="D22">
            <v>0.140625</v>
          </cell>
          <cell r="E22">
            <v>0.1111111111111111</v>
          </cell>
        </row>
        <row r="23">
          <cell r="B23" t="str">
            <v>Mercados financieros</v>
          </cell>
          <cell r="C23">
            <v>9</v>
          </cell>
          <cell r="D23">
            <v>0.140625</v>
          </cell>
          <cell r="E23">
            <v>0.1111111111111111</v>
          </cell>
        </row>
        <row r="24">
          <cell r="B24" t="str">
            <v>Innovación, Ciencia y Tecnología</v>
          </cell>
          <cell r="C24">
            <v>6</v>
          </cell>
          <cell r="D24">
            <v>9.375E-2</v>
          </cell>
          <cell r="E24">
            <v>0.16666666666666666</v>
          </cell>
        </row>
        <row r="25">
          <cell r="B25" t="str">
            <v>Urbanización</v>
          </cell>
          <cell r="C25">
            <v>6</v>
          </cell>
          <cell r="D25">
            <v>9.375E-2</v>
          </cell>
          <cell r="E25">
            <v>0.16666666666666666</v>
          </cell>
        </row>
        <row r="26">
          <cell r="B26" t="str">
            <v>Desarrollo Integral de las personas</v>
          </cell>
          <cell r="C26">
            <v>5</v>
          </cell>
          <cell r="D26">
            <v>7.8125E-2</v>
          </cell>
          <cell r="E26">
            <v>0.2</v>
          </cell>
        </row>
        <row r="27">
          <cell r="B27" t="str">
            <v>Empleo</v>
          </cell>
          <cell r="C27">
            <v>5</v>
          </cell>
          <cell r="D27">
            <v>7.8125E-2</v>
          </cell>
          <cell r="E27">
            <v>0.2</v>
          </cell>
        </row>
        <row r="28">
          <cell r="B28" t="str">
            <v>Gestión, Gobiernos e Instituciones</v>
          </cell>
          <cell r="C28">
            <v>5</v>
          </cell>
          <cell r="D28">
            <v>7.8125E-2</v>
          </cell>
          <cell r="E28">
            <v>0.2</v>
          </cell>
        </row>
        <row r="29">
          <cell r="B29" t="str">
            <v>Infraestructura y Localización</v>
          </cell>
          <cell r="C29">
            <v>5</v>
          </cell>
          <cell r="D29">
            <v>7.8125E-2</v>
          </cell>
          <cell r="E29">
            <v>0.2</v>
          </cell>
        </row>
        <row r="30">
          <cell r="B30" t="str">
            <v>Gestión Empresarial</v>
          </cell>
          <cell r="C30">
            <v>4</v>
          </cell>
          <cell r="D30">
            <v>6.25E-2</v>
          </cell>
          <cell r="E30">
            <v>0.25</v>
          </cell>
        </row>
        <row r="31">
          <cell r="B31" t="str">
            <v>Internacionalización y Apertura</v>
          </cell>
          <cell r="C31">
            <v>4</v>
          </cell>
          <cell r="D31">
            <v>6.25E-2</v>
          </cell>
          <cell r="E31">
            <v>0.25</v>
          </cell>
        </row>
        <row r="32">
          <cell r="B32" t="str">
            <v>Seguridad Jurídica</v>
          </cell>
          <cell r="C32">
            <v>4</v>
          </cell>
          <cell r="D32">
            <v>6.25E-2</v>
          </cell>
          <cell r="E32">
            <v>0.25</v>
          </cell>
        </row>
        <row r="33">
          <cell r="B33" t="str">
            <v>Recursos Naturales y Ambiente</v>
          </cell>
          <cell r="C33">
            <v>2</v>
          </cell>
          <cell r="D33">
            <v>3.125E-2</v>
          </cell>
          <cell r="E33">
            <v>0.5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IME" refreshedDate="43029.505774537036" createdVersion="4" refreshedVersion="4" minRefreshableVersion="3" recordCount="64">
  <cacheSource type="worksheet">
    <worksheetSource ref="A3:DR67" sheet="Base"/>
  </cacheSource>
  <cacheFields count="122">
    <cacheField name="AÑO DE ESTUDIO" numFmtId="0">
      <sharedItems containsSemiMixedTypes="0" containsString="0" containsNumber="1" containsInteger="1" minValue="2017" maxValue="2017"/>
    </cacheField>
    <cacheField name="Línea Estratégica" numFmtId="0">
      <sharedItems count="13">
        <s v="Desarrollo Integral de las personas"/>
        <s v="Desempeño Económico"/>
        <s v="Empleo"/>
        <s v="Gestión Empresarial"/>
        <s v="Gestión, Gobiernos e Instituciones"/>
        <s v="Infraestructura y Localización"/>
        <s v="Habilitantes de Innovación, Ciencia y Tecnología"/>
        <s v="Internacionalización y Apertura"/>
        <s v="Mercados financieros"/>
        <s v="Recursos Naturales y Ambiente"/>
        <s v="Seguridad Jurídica"/>
        <s v="Urbanización"/>
        <s v="Innovación, Ciencia y Tecnología" u="1"/>
      </sharedItems>
    </cacheField>
    <cacheField name="Peso Línea Estratégica " numFmtId="9">
      <sharedItems containsSemiMixedTypes="0" containsString="0" containsNumber="1" minValue="0.05" maxValue="0.15"/>
    </cacheField>
    <cacheField name="Peso Indicador " numFmtId="9">
      <sharedItems containsMixedTypes="1" containsNumber="1" minValue="0.1111111111111111" maxValue="0.5"/>
    </cacheField>
    <cacheField name="Indicador para competitividad " numFmtId="9">
      <sharedItems/>
    </cacheField>
    <cacheField name="Indicador" numFmtId="0">
      <sharedItems count="66">
        <s v="Tasa de mortalidad infantil"/>
        <s v="Años de escolaridad"/>
        <s v="Tasa de Repitencia y Desersión Esc."/>
        <s v="Tasa bruta de asistencia secundaria"/>
        <s v="Pobreza"/>
        <s v="Producción "/>
        <s v="Valor agregado"/>
        <s v="Impuestos pagados"/>
        <s v="Valor Agregado Per Cápita (No Petrolero)"/>
        <s v="Producción Per Cápita (No petrolera)"/>
        <s v="Índice de concentración "/>
        <s v="Productividad Media del trabajo según Producción Total"/>
        <s v="Productividad Media del trabajo según Valor Agregado"/>
        <s v="Coeficiente de Gini"/>
        <s v="Tasa bruta de asistencia superior"/>
        <s v="Tasa de empleo rural"/>
        <s v="Tasa de empleo urbano"/>
        <s v="Tasa de subempleo rural"/>
        <s v="Tasa de subempleo urbano"/>
        <s v="Empresas registradas"/>
        <s v="PYMES"/>
        <s v="Activos empresariales"/>
        <s v="Industrias"/>
        <s v="Ingresos propios"/>
        <s v="Endeudameinto"/>
        <s v="Inversión "/>
        <s v="Gasto social"/>
        <s v="Gobiernos Subnacionales"/>
        <s v="Km vias asfaltadas"/>
        <s v="Distancia a aeropuertos int´I"/>
        <s v="Distancia a puertos int´I"/>
        <s v="Cobertura teléfono fijo"/>
        <s v="Cobertura teléfono celular"/>
        <s v="Cobertura internet"/>
        <s v="Personas con Postgrado"/>
        <s v="Inversión de I&amp;D de empresas"/>
        <s v="Número de Carreras Universitarias"/>
        <s v="Universidades e instit. Superiores"/>
        <s v="Investigadores por provincia "/>
        <s v="Empresas exportadoras"/>
        <s v="Exportaciones (No petroleros)"/>
        <s v="Inversión Extranjera"/>
        <s v="Exportación (No petroleros) per cápita"/>
        <s v="Depósitos en sistema financiero"/>
        <s v="Cartera a sistema financiero"/>
        <s v="Depósitos en sistema financiero para población"/>
        <s v="Cartera productiva en la provincia"/>
        <s v="Cartera productiva per cápita"/>
        <s v="Morosidad en provincia"/>
        <s v="Microcrédito en provincia"/>
        <s v="Microcrédito para población"/>
        <s v="No. Sucursales bancarias"/>
        <s v="Superficie cultivada"/>
        <s v="Bosques y páramos"/>
        <s v="Delitos a personas y propiedad"/>
        <s v="Efectividad detenciones"/>
        <s v="Unidades judiciales y servicios"/>
        <s v="Personal de justicia"/>
        <s v="Densidad poblacional "/>
        <s v="% Población urbana"/>
        <s v="% Fuerza laboral"/>
        <s v="Cobertura agua potable"/>
        <s v="Cobertura electricidad"/>
        <s v="Costo electricidad"/>
        <s v="Cortes y tribunales" u="1"/>
        <s v="Número de Carerras" u="1"/>
      </sharedItems>
    </cacheField>
    <cacheField name="Fórmula" numFmtId="0">
      <sharedItems count="66">
        <s v="(Número de defunciones de niños de menos de 12 meses / Nacidos vivos) x 1000"/>
        <s v="Años de estudio promedio"/>
        <s v="(Total deserción primaria) / (población matriculada)"/>
        <s v="(Matrícula secundaria) / (población relevante)"/>
        <s v="% población pobre según ingresos"/>
        <s v="(PIB provincial ) / (población)"/>
        <s v="(Valor agregado provincial) / (población)"/>
        <s v="(IVA +IR + otros) / (población*1000) "/>
        <s v="Valor Agregado (No Petrolero) / (Población*1.000)"/>
        <s v="Producción (No Petrolera) / Población"/>
        <s v="Índice de concentración Hirschman-Herfindahl (HH)*"/>
        <s v="Producción Total / Total Personas Ocupadas"/>
        <s v="Valor Agregado Total / Total Personas Ocupadas"/>
        <s v="Coeficiente de Gini"/>
        <s v="(Matrícula superior) / (población relevante)"/>
        <s v="(Empleados) / (PEA Rural)"/>
        <s v="(Empleados) / (PEA Urbano)"/>
        <s v="(Subempleados) / (PEA Rural)"/>
        <s v="(Subempleados) / (PEA Urbano)"/>
        <s v="(Compañías) / (población/1000000)"/>
        <s v="(PYMES) / (Empresas)"/>
        <s v="(Activos) / (Activos totales compañías)"/>
        <s v="(Industrias) / (empresas)"/>
        <s v="(Ingresos Propios) / (Ingresos Totales)"/>
        <s v="(Pasivos Totales) / (Ingresos Totales)"/>
        <s v="(Gasto Inversión) / (Gasto Total)"/>
        <s v="(Gasto público salud+educ) / población"/>
        <s v="(No.Gobiernos) / (población/1000000)"/>
        <s v="(Km) / (superficie km2 )"/>
        <s v="(Distancia de capital de provincia a ciudad con arpto int. más cercano)"/>
        <s v="(Distancia a capital de provincia a ciudad con puerto más cercano)"/>
        <s v="(Líneas fijas) / (población)"/>
        <s v="(Líneas móviles) / (población)"/>
        <s v="(Cuentas internet) /(población)"/>
        <s v="(Personas) / (población*/1000000)"/>
        <s v="(Gastos de Exploración, Investigación y Otros) / (empresas)"/>
        <s v="(No.Carreras ofertadas) / (población/1000000)"/>
        <s v="No. De Universidades e Institutos / (poblacón / 1000000)"/>
        <s v="Investigadores por provincia"/>
        <s v="(Empresas Exportadoras) / (empresas)"/>
        <s v="(Exportaciones) / (Exportaciones Totales)"/>
        <s v="(Inversión Extranjera) / (población)"/>
        <s v="(Exportaciones)  / (población)"/>
        <s v="(Captaciones) / (captaciones totales nacionales)"/>
        <s v="(Cartera) / (cartera total nacional)"/>
        <s v="(Captaciones) / (Población)"/>
        <s v="(Cartera comercial) / (créditos totales provinciales)"/>
        <s v="(Cartera comercial) / (población)"/>
        <s v="(Créditos vencidos) / (Créditos Totales Provinciales)"/>
        <s v="(Microcrédito) / (Créditos Totales Provinciales)"/>
        <s v="(Microcrédito) / (Población)"/>
        <s v="(Sucursales) / (población/1000000)"/>
        <s v="(Hectáreas de Cultivos Transitorios + Cultivos Permanentes+pastos cultivados) / (Superficie en Hectáreas)"/>
        <s v="(montes, bosques y páramos) / (área total por provincia)"/>
        <s v="(Denuncia Delitos) / (población)"/>
        <s v="(Detenidos) / (denuncias)"/>
        <s v="(Unidades judiciales y servicios) / (población/1000000)"/>
        <s v="(Personal)/(población/1000000)"/>
        <s v="(Población) / (Km2)"/>
        <s v="(Poblacion urbana) / (población)"/>
        <s v="(PEA) / (población)"/>
        <s v="(Conexiones) / (hogares)"/>
        <s v="(Número de viviendas con conexión) / (Total de viviendas)"/>
        <s v="(Costo KW) / (hora)"/>
        <s v="(Cortes y tribunales) / (población/1000000)" u="1"/>
        <s v="(Hectáreas de Cultivos Transitorios + Cultivos Permanentes) / (Superficie en Hectáreas)" u="1"/>
      </sharedItems>
    </cacheField>
    <cacheField name="Fuente" numFmtId="0">
      <sharedItems containsBlank="1"/>
    </cacheField>
    <cacheField name="Año" numFmtId="0">
      <sharedItems containsMixedTypes="1" containsNumber="1" containsInteger="1" minValue="2010" maxValue="2017"/>
    </cacheField>
    <cacheField name="Medida" numFmtId="0">
      <sharedItems/>
    </cacheField>
    <cacheField name="Azuay" numFmtId="0">
      <sharedItems containsSemiMixedTypes="0" containsString="0" containsNumber="1" minValue="1.2999999999999999E-2" maxValue="684277.0315716156"/>
    </cacheField>
    <cacheField name="Bolívar" numFmtId="0">
      <sharedItems containsString="0" containsBlank="1" containsNumber="1" minValue="3.984366345564931E-5" maxValue="64462.280046394873"/>
    </cacheField>
    <cacheField name="Cañar" numFmtId="0">
      <sharedItems containsString="0" containsBlank="1" containsNumber="1" minValue="1.2999999999999999E-3" maxValue="144662.4541708114"/>
    </cacheField>
    <cacheField name="Carchi" numFmtId="0">
      <sharedItems containsSemiMixedTypes="0" containsString="0" containsNumber="1" minValue="4.0000000000000002E-4" maxValue="114666.08124042689"/>
    </cacheField>
    <cacheField name="Chimborazo" numFmtId="0">
      <sharedItems containsSemiMixedTypes="0" containsString="0" containsNumber="1" minValue="1E-4" maxValue="142749.90852215854"/>
    </cacheField>
    <cacheField name="Cotopaxi" numFmtId="0">
      <sharedItems containsSemiMixedTypes="0" containsString="0" containsNumber="1" minValue="6.4999999999999997E-3" maxValue="201543.6787429284"/>
    </cacheField>
    <cacheField name="El Oro" numFmtId="0">
      <sharedItems containsSemiMixedTypes="0" containsString="0" containsNumber="1" minValue="1.38E-2" maxValue="305857.52285406535"/>
    </cacheField>
    <cacheField name="Esmeraldas " numFmtId="0">
      <sharedItems containsSemiMixedTypes="0" containsString="0" containsNumber="1" minValue="2.8E-3" maxValue="131047.38482883101"/>
    </cacheField>
    <cacheField name="Galápagos" numFmtId="0">
      <sharedItems containsSemiMixedTypes="0" containsString="0" containsNumber="1" minValue="0" maxValue="1194389.309982487"/>
    </cacheField>
    <cacheField name="Guayas" numFmtId="0">
      <sharedItems containsString="0" containsBlank="1" containsNumber="1" minValue="1.09E-2" maxValue="940766.33758270182"/>
    </cacheField>
    <cacheField name="Imbabura" numFmtId="0">
      <sharedItems containsSemiMixedTypes="0" containsString="0" containsNumber="1" minValue="2.3999999999999998E-3" maxValue="252273.55677423888"/>
    </cacheField>
    <cacheField name="Loja" numFmtId="0">
      <sharedItems containsSemiMixedTypes="0" containsString="0" containsNumber="1" minValue="0" maxValue="165633.2710806609"/>
    </cacheField>
    <cacheField name="Los Ríos" numFmtId="0">
      <sharedItems containsSemiMixedTypes="0" containsString="0" containsNumber="1" minValue="5.1000000000000004E-3" maxValue="105276.43"/>
    </cacheField>
    <cacheField name="Manabí" numFmtId="0">
      <sharedItems containsSemiMixedTypes="0" containsString="0" containsNumber="1" minValue="1.6299999999999999E-2" maxValue="136899.98548526046"/>
    </cacheField>
    <cacheField name="Morona Santiago" numFmtId="0">
      <sharedItems containsString="0" containsBlank="1" containsNumber="1" minValue="3.1379999717266923E-6" maxValue="99299.642828173572"/>
    </cacheField>
    <cacheField name="Napo" numFmtId="0">
      <sharedItems containsString="0" containsBlank="1" containsNumber="1" minValue="1E-4" maxValue="116615.59061496478"/>
    </cacheField>
    <cacheField name="Francisco de Orellana" numFmtId="0">
      <sharedItems containsSemiMixedTypes="0" containsString="0" containsNumber="1" minValue="8.2797076171284988E-6" maxValue="177691.4103786035"/>
    </cacheField>
    <cacheField name="Pastaza" numFmtId="0">
      <sharedItems containsSemiMixedTypes="0" containsString="0" containsNumber="1" minValue="0" maxValue="151858.23478250505"/>
    </cacheField>
    <cacheField name="Pichincha" numFmtId="0">
      <sharedItems containsSemiMixedTypes="0" containsString="0" containsNumber="1" minValue="4.0000000000000001E-3" maxValue="2245093.7821647977"/>
    </cacheField>
    <cacheField name="Sucumbíos" numFmtId="0">
      <sharedItems containsSemiMixedTypes="0" containsString="0" containsNumber="1" minValue="3.1379999717266923E-6" maxValue="128727.9346298563"/>
    </cacheField>
    <cacheField name="Tungurahua" numFmtId="0">
      <sharedItems containsSemiMixedTypes="0" containsString="0" containsNumber="1" minValue="3.0999999999999999E-3" maxValue="337737.64265938406"/>
    </cacheField>
    <cacheField name="Zamora Chinchipe" numFmtId="0">
      <sharedItems containsSemiMixedTypes="0" containsString="0" containsNumber="1" minValue="1E-4" maxValue="673820.24295219744"/>
    </cacheField>
    <cacheField name="Santa Elena" numFmtId="0">
      <sharedItems containsSemiMixedTypes="0" containsString="0" containsNumber="1" minValue="2E-3" maxValue="79667.861402752897"/>
    </cacheField>
    <cacheField name="Santo Domingo de los Tsachilas" numFmtId="0">
      <sharedItems containsSemiMixedTypes="0" containsString="0" containsNumber="1" minValue="4.4000000000000003E-3" maxValue="187405.17583346239"/>
    </cacheField>
    <cacheField name="Prov análisis" numFmtId="0">
      <sharedItems containsSemiMixedTypes="0" containsString="0" containsNumber="1" minValue="3.0999999999999999E-3" maxValue="862243"/>
    </cacheField>
    <cacheField name="Promedio" numFmtId="0">
      <sharedItems containsSemiMixedTypes="0" containsString="0" containsNumber="1" minValue="1.7254166666666668E-2" maxValue="365311.57585112256"/>
    </cacheField>
    <cacheField name="Desviación Estándar" numFmtId="4">
      <sharedItems containsSemiMixedTypes="0" containsString="0" containsNumber="1" minValue="4.6886232953604959E-3" maxValue="495615.08385786333"/>
    </cacheField>
    <cacheField name="Coeficiente  de variación" numFmtId="9">
      <sharedItems containsSemiMixedTypes="0" containsString="0" containsNumber="1" minValue="1.2703279788007414E-2" maxValue="2.9533018010093102"/>
    </cacheField>
    <cacheField name="Provincia líder" numFmtId="9">
      <sharedItems containsBlank="1" containsMixedTypes="1" containsNumber="1" minValue="7.7799999999999994E-2" maxValue="43590.75"/>
    </cacheField>
    <cacheField name="Max" numFmtId="0">
      <sharedItems containsSemiMixedTypes="0" containsString="0" containsNumber="1" minValue="3.9899999999999998E-2" maxValue="2245093.7821647977"/>
    </cacheField>
    <cacheField name="Min" numFmtId="0">
      <sharedItems containsSemiMixedTypes="0" containsString="0" containsNumber="1" minValue="0" maxValue="64462.280046394873"/>
    </cacheField>
    <cacheField name="Rango Max-min" numFmtId="4">
      <sharedItems containsMixedTypes="1" containsNumber="1" minValue="1.0473186119873819" maxValue="132122.37212732201"/>
    </cacheField>
    <cacheField name="Valor lider" numFmtId="0">
      <sharedItems containsSemiMixedTypes="0" containsString="0" containsNumber="1" minValue="3.0000000000000001E-3" maxValue="2245093.7821647977"/>
    </cacheField>
    <cacheField name="1. Azuay - Estandar" numFmtId="2">
      <sharedItems containsSemiMixedTypes="0" containsString="0" containsNumber="1" minValue="0" maxValue="97.61904761904762"/>
    </cacheField>
    <cacheField name="2. Bolívar - Estándar " numFmtId="2">
      <sharedItems containsSemiMixedTypes="0" containsString="0" containsNumber="1" minValue="0" maxValue="100"/>
    </cacheField>
    <cacheField name="3. Cañar - Estándar " numFmtId="2">
      <sharedItems containsSemiMixedTypes="0" containsString="0" containsNumber="1" minValue="0" maxValue="100.47392916904822"/>
    </cacheField>
    <cacheField name="4. Carchi - Estándar " numFmtId="2">
      <sharedItems containsSemiMixedTypes="0" containsString="0" containsNumber="1" minValue="-0.22126033820140378" maxValue="100"/>
    </cacheField>
    <cacheField name="5. Chimborazo - Estándar " numFmtId="2">
      <sharedItems containsSemiMixedTypes="0" containsString="0" containsNumber="1" minValue="0" maxValue="100.05998926356426"/>
    </cacheField>
    <cacheField name="6. Cotopaxi - Estándar " numFmtId="2">
      <sharedItems containsSemiMixedTypes="0" containsString="0" containsNumber="1" minValue="-5.8389894285141963E-2" maxValue="100"/>
    </cacheField>
    <cacheField name="7. El Oro - Estándar " numFmtId="2">
      <sharedItems containsSemiMixedTypes="0" containsString="0" containsNumber="1" minValue="1.0590727229936454" maxValue="100.33218038943471"/>
    </cacheField>
    <cacheField name="8. Esmeraldas - Estándar " numFmtId="2">
      <sharedItems containsSemiMixedTypes="0" containsString="0" containsNumber="1" minValue="-3.0428628668104807E-2" maxValue="100"/>
    </cacheField>
    <cacheField name="9. Galápagos - Estándar " numFmtId="2">
      <sharedItems containsSemiMixedTypes="0" containsString="0" containsNumber="1" minValue="0" maxValue="100.0282363698401"/>
    </cacheField>
    <cacheField name="10. Guayas - Estándar " numFmtId="2">
      <sharedItems containsSemiMixedTypes="0" containsString="0" containsNumber="1" minValue="-5.1483842636741883E-2" maxValue="115.98837209302326"/>
    </cacheField>
    <cacheField name="11. Imbabura -Estándar " numFmtId="2">
      <sharedItems containsSemiMixedTypes="0" containsString="0" containsNumber="1" minValue="0.57811870269971055" maxValue="100.11717949872148"/>
    </cacheField>
    <cacheField name="12. Loja - Estándar " numFmtId="2">
      <sharedItems containsSemiMixedTypes="0" containsString="0" containsNumber="1" minValue="-7.8424676732282705E-3" maxValue="100"/>
    </cacheField>
    <cacheField name="13. Los Ríos - Estándar " numFmtId="2">
      <sharedItems containsSemiMixedTypes="0" containsString="0" containsNumber="1" minValue="0" maxValue="99.973660610405858"/>
    </cacheField>
    <cacheField name="14. Manabí - Estáncar " numFmtId="2">
      <sharedItems containsSemiMixedTypes="0" containsString="0" containsNumber="1" minValue="-3.8835146676262866E-2" maxValue="100"/>
    </cacheField>
    <cacheField name="15. Morona Santiago - Estáncar " numFmtId="2">
      <sharedItems containsSemiMixedTypes="0" containsString="0" containsNumber="1" minValue="0" maxValue="100.08410431417569"/>
    </cacheField>
    <cacheField name="16. Napo - Estáncar " numFmtId="2">
      <sharedItems containsSemiMixedTypes="0" containsString="0" containsNumber="1" minValue="-0.10974369423577457" maxValue="100"/>
    </cacheField>
    <cacheField name="17. Francisco de Orellana - Estándar " numFmtId="2">
      <sharedItems containsSemiMixedTypes="0" containsString="0" containsNumber="1" minValue="0" maxValue="100.08569267731764"/>
    </cacheField>
    <cacheField name="18. Pastaza - Estáncar " numFmtId="2">
      <sharedItems containsSemiMixedTypes="0" containsString="0" containsNumber="1" minValue="-6.7673310245822904E-2" maxValue="100"/>
    </cacheField>
    <cacheField name="19. Pichincha - Estándar " numFmtId="2">
      <sharedItems containsSemiMixedTypes="0" containsString="0" containsNumber="1" minValue="0" maxValue="100.13910759093059"/>
    </cacheField>
    <cacheField name="20. Sucumbíos - Estáncar " numFmtId="2">
      <sharedItems containsSemiMixedTypes="0" containsString="0" containsNumber="1" minValue="-0.13772052260354428" maxValue="90.867579908675793"/>
    </cacheField>
    <cacheField name="21. Tungurahua - Estáncar " numFmtId="2">
      <sharedItems containsSemiMixedTypes="0" containsString="0" containsNumber="1" minValue="0" maxValue="100.10596625092022"/>
    </cacheField>
    <cacheField name="22. Zamora Chinchipe - Estándar " numFmtId="2">
      <sharedItems containsSemiMixedTypes="0" containsString="0" containsNumber="1" minValue="-0.12157995801460686" maxValue="100"/>
    </cacheField>
    <cacheField name="23. Santa Elena" numFmtId="2">
      <sharedItems containsSemiMixedTypes="0" containsString="0" containsNumber="1" minValue="0" maxValue="99.986552299376157"/>
    </cacheField>
    <cacheField name="24. Santo Domingo de los Tsachilas" numFmtId="2">
      <sharedItems containsSemiMixedTypes="0" containsString="0" containsNumber="1" minValue="-0.10107351376727536" maxValue="100"/>
    </cacheField>
    <cacheField name="Max2" numFmtId="2">
      <sharedItems containsSemiMixedTypes="0" containsString="0" containsNumber="1" minValue="100" maxValue="115.98837209302326"/>
    </cacheField>
    <cacheField name="Min2" numFmtId="2">
      <sharedItems containsSemiMixedTypes="0" containsString="0" containsNumber="1" minValue="-0.22126033820140378" maxValue="0"/>
    </cacheField>
    <cacheField name="Promedio normalizado" numFmtId="2">
      <sharedItems containsSemiMixedTypes="0" containsString="0" containsNumber="1" minValue="6.3063858162704944" maxValue="79.761904761904759"/>
    </cacheField>
    <cacheField name="Desviación Estándar Normalizado" numFmtId="2">
      <sharedItems containsSemiMixedTypes="0" containsString="0" containsNumber="1" minValue="18.297367493505824" maxValue="50.266164324178654"/>
    </cacheField>
    <cacheField name="Coeficiente  de variación normalizado" numFmtId="9">
      <sharedItems containsSemiMixedTypes="0" containsString="0" containsNumber="1" minValue="0.24752493328768296" maxValue="3.2533172916393776"/>
    </cacheField>
    <cacheField name="Azuay %" numFmtId="0">
      <sharedItems containsMixedTypes="1" containsNumber="1" minValue="0" maxValue="1.8394934976043809"/>
    </cacheField>
    <cacheField name="Bolívar %" numFmtId="0">
      <sharedItems containsMixedTypes="1" containsNumber="1" minValue="0" maxValue="1.8710359408033828"/>
    </cacheField>
    <cacheField name="Cañar %" numFmtId="0">
      <sharedItems containsMixedTypes="1" containsNumber="1" minValue="0" maxValue="2"/>
    </cacheField>
    <cacheField name="Carchi %" numFmtId="0">
      <sharedItems containsMixedTypes="1" containsNumber="1" minValue="-2.2126033820140381E-3" maxValue="1.995584988962473"/>
    </cacheField>
    <cacheField name="Chimborazo %" numFmtId="0">
      <sharedItems containsMixedTypes="1" containsNumber="1" minValue="0" maxValue="2"/>
    </cacheField>
    <cacheField name="Cotopaxi %" numFmtId="0">
      <sharedItems containsMixedTypes="1" containsNumber="1" minValue="-9.731649047523659E-4" maxValue="2.5"/>
    </cacheField>
    <cacheField name="El Oro %" numFmtId="0">
      <sharedItems containsMixedTypes="1" containsNumber="1" minValue="2.6476818074841136E-2" maxValue="1.9909928352098263"/>
    </cacheField>
    <cacheField name="Esmeraldas %" numFmtId="0">
      <sharedItems containsMixedTypes="1" containsNumber="1" minValue="-3.0428628668104812E-4" maxValue="2"/>
    </cacheField>
    <cacheField name="Galápagos %" numFmtId="0">
      <sharedItems containsMixedTypes="1" containsNumber="1" minValue="0" maxValue="2.5"/>
    </cacheField>
    <cacheField name="Guayas %" numFmtId="0">
      <sharedItems containsMixedTypes="1" containsNumber="1" minValue="-8.5806404394569795E-4" maxValue="2.5"/>
    </cacheField>
    <cacheField name="Imbabura %" numFmtId="0">
      <sharedItems containsMixedTypes="1" containsNumber="1" minValue="1.4452967567492765E-2" maxValue="1.825102116598589"/>
    </cacheField>
    <cacheField name="Loja %" numFmtId="0">
      <sharedItems containsMixedTypes="1" containsNumber="1" minValue="-9.8030845915353384E-5" maxValue="1.6133333333333324"/>
    </cacheField>
    <cacheField name="Los Ríos %" numFmtId="0">
      <sharedItems containsMixedTypes="1" containsNumber="1" minValue="0" maxValue="2.3780487804878052"/>
    </cacheField>
    <cacheField name="Manabí %" numFmtId="0">
      <sharedItems containsMixedTypes="1" containsNumber="1" minValue="-6.4725244460438105E-4" maxValue="2.0426829268292686"/>
    </cacheField>
    <cacheField name="Morona Santiago %" numFmtId="0">
      <sharedItems containsMixedTypes="1" containsNumber="1" minValue="0" maxValue="2"/>
    </cacheField>
    <cacheField name="Napo %" numFmtId="0">
      <sharedItems containsMixedTypes="1" containsNumber="1" minValue="-1.0974369423577457E-3" maxValue="2.1440606306172021"/>
    </cacheField>
    <cacheField name="Francisco de Orellana %" numFmtId="0">
      <sharedItems containsMixedTypes="1" containsNumber="1" minValue="3.100426050379426E-5" maxValue="2.182320332054335"/>
    </cacheField>
    <cacheField name="Pastaza %" numFmtId="0">
      <sharedItems containsMixedTypes="1" containsNumber="1" minValue="-1.1278885040970482E-3" maxValue="2.3904065092824207"/>
    </cacheField>
    <cacheField name="Pichincha %" numFmtId="0">
      <sharedItems containsMixedTypes="1" containsNumber="1" minValue="0" maxValue="2.5"/>
    </cacheField>
    <cacheField name="Sucumbíos %" numFmtId="0">
      <sharedItems containsMixedTypes="1" containsNumber="1" minValue="-1.377205226035443E-3" maxValue="1.8173515981735162"/>
    </cacheField>
    <cacheField name="Tungurahua %" numFmtId="0">
      <sharedItems containsMixedTypes="1" containsNumber="1" minValue="0" maxValue="2.5"/>
    </cacheField>
    <cacheField name="Zamora Chinchipe %" numFmtId="0">
      <sharedItems containsMixedTypes="1" containsNumber="1" minValue="-2.0263326335767809E-3" maxValue="1.4137475140917761"/>
    </cacheField>
    <cacheField name="Santa Elena %" numFmtId="0">
      <sharedItems containsMixedTypes="1" containsNumber="1" minValue="0" maxValue="1.9914022517911978"/>
    </cacheField>
    <cacheField name="Santo Domingo de los Tsachilas %" numFmtId="0">
      <sharedItems containsMixedTypes="1" containsNumber="1" minValue="-1.0107351376727536E-3" maxValue="2.5"/>
    </cacheField>
    <cacheField name="PROMEDIO %" numFmtId="0">
      <sharedItems containsMixedTypes="1" containsNumber="1" minValue="1" maxValue="2.5"/>
    </cacheField>
    <cacheField name="Azuay 1" numFmtId="0">
      <sharedItems containsMixedTypes="1" containsNumber="1" minValue="0" maxValue="26.415200619202427"/>
    </cacheField>
    <cacheField name="Bolívar 1" numFmtId="0">
      <sharedItems containsMixedTypes="1" containsNumber="1" minValue="0" maxValue="37.195121951219512"/>
    </cacheField>
    <cacheField name="Cañar 1" numFmtId="0">
      <sharedItems containsMixedTypes="1" containsNumber="1" minValue="0" maxValue="24.995838152742017"/>
    </cacheField>
    <cacheField name="Carchi 1" numFmtId="0">
      <sharedItems containsMixedTypes="1" containsNumber="1" minValue="-4.4252067640280758E-2" maxValue="25.173640772110339"/>
    </cacheField>
    <cacheField name="Chimborazo 1" numFmtId="0">
      <sharedItems containsMixedTypes="1" containsNumber="1" minValue="0" maxValue="24.995592172574383"/>
    </cacheField>
    <cacheField name="Cotopaxi 1" numFmtId="0">
      <sharedItems containsMixedTypes="1" containsNumber="1" minValue="-6.4877660316824404E-3" maxValue="25"/>
    </cacheField>
    <cacheField name="El Oro 1" numFmtId="0">
      <sharedItems containsMixedTypes="1" containsNumber="1" minValue="0.26476818074841135" maxValue="28.04878048780488"/>
    </cacheField>
    <cacheField name="Esmeraldas 1" numFmtId="0">
      <sharedItems containsMixedTypes="1" containsNumber="1" minValue="-6.0857257336209619E-3" maxValue="27.439024390243905"/>
    </cacheField>
    <cacheField name="Galápagos 1" numFmtId="0">
      <sharedItems containsMixedTypes="1" containsNumber="1" minValue="0" maxValue="50"/>
    </cacheField>
    <cacheField name="Guayas 1" numFmtId="0">
      <sharedItems containsMixedTypes="1" containsNumber="1" minValue="-5.7204269596379869E-3" maxValue="39.024390243902438"/>
    </cacheField>
    <cacheField name="Imbabura 1" numFmtId="0">
      <sharedItems containsMixedTypes="1" containsNumber="1" minValue="0.14452967567492764" maxValue="32.091811687876977"/>
    </cacheField>
    <cacheField name="Loja 1" numFmtId="0">
      <sharedItems containsMixedTypes="1" containsNumber="1" minValue="-1.9606169183070676E-3" maxValue="20.677120178991956"/>
    </cacheField>
    <cacheField name="Los Ríos 1" numFmtId="0">
      <sharedItems containsMixedTypes="1" containsNumber="1" minValue="0" maxValue="47.560975609756099"/>
    </cacheField>
    <cacheField name="Manabí 1" numFmtId="0">
      <sharedItems containsMixedTypes="1" containsNumber="1" minValue="-4.3150162973625405E-3" maxValue="40.853658536585371"/>
    </cacheField>
    <cacheField name="Morona Santiago 1" numFmtId="0">
      <sharedItems containsMixedTypes="1" containsNumber="1" minValue="0" maxValue="35.477922630715632"/>
    </cacheField>
    <cacheField name="Napo 1" numFmtId="0">
      <sharedItems containsMixedTypes="1" containsNumber="1" minValue="-2.1948738847154915E-2" maxValue="42.881212612344044"/>
    </cacheField>
    <cacheField name="Francisco de Orellana 1" numFmtId="0">
      <sharedItems containsMixedTypes="1" containsNumber="1" minValue="3.1004260503794261E-4" maxValue="43.646406641086699"/>
    </cacheField>
    <cacheField name="Pastaza 1" numFmtId="0">
      <sharedItems containsMixedTypes="1" containsNumber="1" minValue="-7.5192566939803222E-3" maxValue="47.808130185648416"/>
    </cacheField>
    <cacheField name="Pichincha 1" numFmtId="0">
      <sharedItems containsMixedTypes="1" containsNumber="1" minValue="0" maxValue="26.496254927401509"/>
    </cacheField>
    <cacheField name="Sucumbíos 1" numFmtId="0">
      <sharedItems containsMixedTypes="1" containsNumber="1" minValue="-2.7544104520708858E-2" maxValue="32.650968761398708"/>
    </cacheField>
    <cacheField name="Tungurahua 1" numFmtId="0">
      <sharedItems containsMixedTypes="1" containsNumber="1" minValue="0" maxValue="25"/>
    </cacheField>
    <cacheField name="Zamora Chinchipe 1" numFmtId="0">
      <sharedItems containsMixedTypes="1" containsNumber="1" minValue="-1.3508884223845205E-2" maxValue="28.274950281835519"/>
    </cacheField>
    <cacheField name="Santa Elena 1" numFmtId="0">
      <sharedItems containsMixedTypes="1" containsNumber="1" minValue="0" maxValue="29.238989748876023"/>
    </cacheField>
    <cacheField name="Santo Domingo de los Tsachilas 1" numFmtId="0">
      <sharedItems containsMixedTypes="1" containsNumber="1" minValue="-2.0214702753455074E-2" maxValue="50"/>
    </cacheField>
    <cacheField name="PROMEDIO %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IME" refreshedDate="43029.51527384259" createdVersion="4" refreshedVersion="4" minRefreshableVersion="3" recordCount="24">
  <cacheSource type="worksheet">
    <worksheetSource ref="A101:N125" sheet="Ind. pilar y provincia"/>
  </cacheSource>
  <cacheFields count="14">
    <cacheField name="Valores" numFmtId="0">
      <sharedItems count="24">
        <s v="Promedio de 1. Azuay - Estandar"/>
        <s v="Promedio de 2. Bolívar - Estándar "/>
        <s v="Promedio de 3. Cañar - Estándar "/>
        <s v="Promedio de 4. Carchi - Estándar "/>
        <s v="Promedio de 5. Chimborazo - Estándar "/>
        <s v="Promedio de 6. Cotopaxi - Estándar "/>
        <s v="Promedio de 7. El Oro - Estándar "/>
        <s v="Promedio de 8. Esmeraldas - Estándar "/>
        <s v="Promedio de 9. Galápagos - Estándar "/>
        <s v="Promedio de 10. Guayas - Estándar "/>
        <s v="Promedio de 11. Imbabura -Estándar "/>
        <s v="Promedio de 12. Loja - Estándar "/>
        <s v="Promedio de 13. Los Ríos - Estándar "/>
        <s v="Promedio de 14. Manabí - Estáncar "/>
        <s v="Promedio de 15. Morona Santiago - Estáncar "/>
        <s v="Promedio de 16. Napo - Estáncar "/>
        <s v="Promedio de 17. Francisco de Orellana - Estándar "/>
        <s v="Promedio de 18. Pastaza - Estáncar "/>
        <s v="Promedio de 19. Pichincha - Estándar "/>
        <s v="Promedio de 20. Sucumbíos - Estáncar "/>
        <s v="Promedio de 21. Tungurahua - Estáncar "/>
        <s v="Promedio de 22. Zamora Chinchipe - Estándar "/>
        <s v="Promedio de 23. Santa Elena"/>
        <s v="Promedio de 24. Santo Domingo de los Tsachilas"/>
      </sharedItems>
    </cacheField>
    <cacheField name="Desarrollo Integral de las personas" numFmtId="0">
      <sharedItems containsSemiMixedTypes="0" containsString="0" containsNumber="1" minValue="14.477820421511758" maxValue="79.964392399555592"/>
    </cacheField>
    <cacheField name="Desempeño Económico" numFmtId="0">
      <sharedItems containsSemiMixedTypes="0" containsString="0" containsNumber="1" minValue="7.1315725188494845" maxValue="79.713315598302742"/>
    </cacheField>
    <cacheField name="Empleo" numFmtId="0">
      <sharedItems containsSemiMixedTypes="0" containsString="0" containsNumber="1" minValue="25.985485337513303" maxValue="89.853417899929582"/>
    </cacheField>
    <cacheField name="Gestión Empresarial" numFmtId="0">
      <sharedItems containsSemiMixedTypes="0" containsString="0" containsNumber="1" minValue="5.2703627652292955" maxValue="81.019166845981928"/>
    </cacheField>
    <cacheField name="Gestión, Gobiernos e Instituciones" numFmtId="0">
      <sharedItems containsSemiMixedTypes="0" containsString="0" containsNumber="1" minValue="15.105123117856001" maxValue="74.029681925442702"/>
    </cacheField>
    <cacheField name="Infraestructura y Localización" numFmtId="0">
      <sharedItems containsSemiMixedTypes="0" containsString="0" containsNumber="1" minValue="24.667058362710538" maxValue="81.071609676744174"/>
    </cacheField>
    <cacheField name="Internacionalización y Apertura" numFmtId="0">
      <sharedItems containsSemiMixedTypes="0" containsString="0" containsNumber="1" minValue="1.1767474699929396E-2" maxValue="82.301898322812576"/>
    </cacheField>
    <cacheField name="Mercados financieros" numFmtId="0">
      <sharedItems containsSemiMixedTypes="0" containsString="0" containsNumber="1" minValue="12.946020471393387" maxValue="78.97715440132761"/>
    </cacheField>
    <cacheField name="Recursos Naturales y Ambiente" numFmtId="0">
      <sharedItems containsSemiMixedTypes="0" containsString="0" containsNumber="1" minValue="31.652729935089518" maxValue="51.333589789961366"/>
    </cacheField>
    <cacheField name="Seguridad Jurídica" numFmtId="0">
      <sharedItems containsSemiMixedTypes="0" containsString="0" containsNumber="1" minValue="4.2577554880047375" maxValue="78.740250317897036"/>
    </cacheField>
    <cacheField name="Urbanización" numFmtId="0">
      <sharedItems containsSemiMixedTypes="0" containsString="0" containsNumber="1" minValue="18.556170745663252" maxValue="87.620446096752417"/>
    </cacheField>
    <cacheField name="Habilitantes de Innovación, Ciencia y Tecnología" numFmtId="0">
      <sharedItems containsSemiMixedTypes="0" containsString="0" containsNumber="1" minValue="11.368062474127202" maxValue="68.453370687455973"/>
    </cacheField>
    <cacheField name="Total general" numFmtId="0">
      <sharedItems containsSemiMixedTypes="0" containsString="0" containsNumber="1" minValue="26.937712908191553" maxValue="72.6060875065537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n v="2017"/>
    <x v="0"/>
    <n v="0.05"/>
    <n v="0.2"/>
    <s v="Destruye"/>
    <x v="0"/>
    <x v="0"/>
    <s v="INEC: Censo de Población y Vivienda"/>
    <n v="2016"/>
    <s v="Tasa x 1.000 nacidos"/>
    <n v="6.9"/>
    <n v="9.8000000000000007"/>
    <n v="6.13"/>
    <n v="10.43"/>
    <n v="11.18"/>
    <n v="10.57"/>
    <n v="6.54"/>
    <n v="5.42"/>
    <n v="7.59"/>
    <n v="8.4600000000000009"/>
    <n v="8.17"/>
    <n v="6.48"/>
    <n v="7.63"/>
    <n v="7.42"/>
    <n v="10.08"/>
    <n v="10.36"/>
    <n v="6.22"/>
    <n v="5.83"/>
    <n v="8.68"/>
    <n v="7.94"/>
    <n v="6.61"/>
    <n v="2.25"/>
    <n v="7.13"/>
    <n v="6.48"/>
    <n v="6.61"/>
    <n v="7.679166666666668"/>
    <n v="2.0470570958385998"/>
    <n v="0.26657281768923707"/>
    <e v="#REF!"/>
    <n v="11.18"/>
    <n v="2.25"/>
    <n v="4.9688888888888885"/>
    <n v="2.25"/>
    <n v="47.928331466965282"/>
    <n v="15.453527435610297"/>
    <n v="56.550951847704368"/>
    <n v="8.3986562150056017"/>
    <n v="0"/>
    <n v="6.8309070548712185"/>
    <n v="51.959686450167972"/>
    <n v="64.501679731243001"/>
    <n v="40.201567749160141"/>
    <n v="30.459126539753626"/>
    <n v="33.706606942889138"/>
    <n v="52.631578947368411"/>
    <n v="39.753639417693165"/>
    <n v="42.105263157894733"/>
    <n v="12.318029115341545"/>
    <n v="9.1825307950727932"/>
    <n v="55.5431131019037"/>
    <n v="59.910414333706605"/>
    <n v="27.995520716685334"/>
    <n v="36.282194848824176"/>
    <n v="51.17581187010078"/>
    <n v="100"/>
    <n v="45.352743561030238"/>
    <n v="52.631578947368411"/>
    <n v="100"/>
    <n v="0"/>
    <n v="39.203060843598358"/>
    <n v="22.923371733914955"/>
    <n v="0.58473423351733556"/>
    <n v="0.4792833146696529"/>
    <n v="0.15453527435610301"/>
    <n v="0.56550951847704378"/>
    <n v="8.3986562150056024E-2"/>
    <n v="0"/>
    <n v="6.83090705487122E-2"/>
    <n v="0.51959686450167986"/>
    <n v="0.64501679731243011"/>
    <n v="0.40201567749160144"/>
    <n v="0.30459126539753628"/>
    <n v="0.33706606942889139"/>
    <n v="0.52631578947368418"/>
    <n v="0.39753639417693165"/>
    <n v="0.42105263157894735"/>
    <n v="0.12318029115341547"/>
    <n v="9.182530795072795E-2"/>
    <n v="0.55543113101903707"/>
    <n v="0.59910414333706619"/>
    <n v="0.27995520716685335"/>
    <n v="0.36282194848824179"/>
    <n v="0.51175811870100785"/>
    <n v="1"/>
    <n v="0.4535274356103024"/>
    <n v="0.52631578947368418"/>
    <n v="1"/>
    <n v="9.5856662933930572"/>
    <n v="3.0907054871220598"/>
    <n v="11.310190369540875"/>
    <n v="1.6797312430011204"/>
    <n v="0"/>
    <n v="1.3661814109742438"/>
    <n v="10.391937290033596"/>
    <n v="12.900335946248601"/>
    <n v="8.0403135498320282"/>
    <n v="6.0918253079507254"/>
    <n v="6.7413213885778278"/>
    <n v="10.526315789473683"/>
    <n v="7.950727883538633"/>
    <n v="8.4210526315789469"/>
    <n v="2.4636058230683093"/>
    <n v="1.8365061590145588"/>
    <n v="11.108622620380741"/>
    <n v="11.982082866741322"/>
    <n v="5.5991041433370672"/>
    <n v="7.2564389697648357"/>
    <n v="10.235162374020156"/>
    <n v="20"/>
    <n v="9.0705487122060475"/>
    <n v="10.526315789473683"/>
    <m/>
  </r>
  <r>
    <n v="2017"/>
    <x v="0"/>
    <n v="0.05"/>
    <n v="0.2"/>
    <s v="Apoya "/>
    <x v="1"/>
    <x v="1"/>
    <s v="INEC: Encuesta de Empleo, Subempleo y Desempleo (ENEMDU)"/>
    <n v="2014"/>
    <s v="#"/>
    <n v="9.5"/>
    <n v="8.3000000000000007"/>
    <n v="8.4"/>
    <n v="8.4"/>
    <n v="7.2"/>
    <n v="7.9"/>
    <n v="9.9"/>
    <n v="9.1"/>
    <n v="12"/>
    <n v="10.3"/>
    <n v="8.9"/>
    <n v="9.8000000000000007"/>
    <n v="8.6"/>
    <n v="8.6999999999999993"/>
    <n v="8.8000000000000007"/>
    <n v="9.6999999999999993"/>
    <n v="9"/>
    <n v="10"/>
    <n v="11.5"/>
    <n v="8.6"/>
    <n v="9.5"/>
    <n v="9"/>
    <n v="9"/>
    <n v="9.1999999999999993"/>
    <n v="9.5"/>
    <n v="9.2208333333333332"/>
    <n v="1.0504571123694471"/>
    <n v="0.11392214503780718"/>
    <e v="#REF!"/>
    <n v="12"/>
    <n v="7.2"/>
    <n v="1.6666666666666665"/>
    <n v="12"/>
    <n v="47.916666666666664"/>
    <n v="22.916666666666679"/>
    <n v="25.000000000000007"/>
    <n v="25.000000000000007"/>
    <n v="0"/>
    <n v="14.583333333333337"/>
    <n v="56.250000000000014"/>
    <n v="39.583333333333329"/>
    <n v="100"/>
    <n v="64.583333333333343"/>
    <n v="35.416666666666671"/>
    <n v="54.166666666666686"/>
    <n v="29.166666666666657"/>
    <n v="31.249999999999982"/>
    <n v="33.33333333333335"/>
    <n v="52.083333333333314"/>
    <n v="37.5"/>
    <n v="58.333333333333336"/>
    <n v="89.583333333333343"/>
    <n v="29.166666666666657"/>
    <n v="47.916666666666664"/>
    <n v="37.5"/>
    <n v="37.5"/>
    <n v="41.66666666666665"/>
    <n v="100"/>
    <n v="0"/>
    <n v="42.100694444444443"/>
    <n v="21.884523174363288"/>
    <n v="0.51981382880137128"/>
    <n v="0.47916666666666674"/>
    <n v="0.2291666666666668"/>
    <n v="0.25000000000000011"/>
    <n v="0.25000000000000011"/>
    <n v="0"/>
    <n v="0.1458333333333334"/>
    <n v="0.56250000000000022"/>
    <n v="0.39583333333333331"/>
    <n v="1"/>
    <n v="0.64583333333333348"/>
    <n v="0.35416666666666674"/>
    <n v="0.54166666666666685"/>
    <n v="0.29166666666666663"/>
    <n v="0.31249999999999983"/>
    <n v="0.33333333333333354"/>
    <n v="0.52083333333333326"/>
    <n v="0.375"/>
    <n v="0.58333333333333337"/>
    <n v="0.89583333333333348"/>
    <n v="0.29166666666666663"/>
    <n v="0.47916666666666674"/>
    <n v="0.375"/>
    <n v="0.375"/>
    <n v="0.41666666666666652"/>
    <n v="1"/>
    <n v="9.5833333333333339"/>
    <n v="4.5833333333333357"/>
    <n v="5.0000000000000018"/>
    <n v="5.0000000000000018"/>
    <n v="0"/>
    <n v="2.9166666666666679"/>
    <n v="11.250000000000004"/>
    <n v="7.9166666666666661"/>
    <n v="20"/>
    <n v="12.91666666666667"/>
    <n v="7.0833333333333348"/>
    <n v="10.833333333333337"/>
    <n v="5.8333333333333321"/>
    <n v="6.2499999999999964"/>
    <n v="6.6666666666666705"/>
    <n v="10.416666666666664"/>
    <n v="7.5"/>
    <n v="11.666666666666668"/>
    <n v="17.916666666666668"/>
    <n v="5.8333333333333321"/>
    <n v="9.5833333333333339"/>
    <n v="7.5"/>
    <n v="7.5"/>
    <n v="8.3333333333333304"/>
    <m/>
  </r>
  <r>
    <n v="2017"/>
    <x v="0"/>
    <n v="0.05"/>
    <n v="0.2"/>
    <s v="Destruye"/>
    <x v="2"/>
    <x v="2"/>
    <s v="INEC: Censo de Población y Vivienda"/>
    <n v="2014"/>
    <s v="%"/>
    <n v="1.2999999999999999E-2"/>
    <n v="3.0000000000000001E-3"/>
    <n v="2.1999999999999999E-2"/>
    <n v="3.0000000000000001E-3"/>
    <n v="0.02"/>
    <n v="1.4999999999999999E-2"/>
    <n v="1.6E-2"/>
    <n v="2.5999999999999999E-2"/>
    <n v="1.0999999999999999E-2"/>
    <n v="2.8000000000000001E-2"/>
    <n v="1.7000000000000001E-2"/>
    <n v="1.2999999999999999E-2"/>
    <n v="2.5000000000000001E-2"/>
    <n v="1.7000000000000001E-2"/>
    <n v="2.8000000000000001E-2"/>
    <n v="1.2999999999999999E-2"/>
    <n v="3.2000000000000001E-2"/>
    <n v="2.3E-2"/>
    <n v="4.0000000000000001E-3"/>
    <n v="0.05"/>
    <n v="1.2E-2"/>
    <n v="1.7999999999999999E-2"/>
    <n v="2.3E-2"/>
    <n v="2.7E-2"/>
    <n v="1.2E-2"/>
    <n v="1.9125000000000007E-2"/>
    <n v="1.037267522408504E-2"/>
    <n v="0.54236210322013267"/>
    <e v="#REF!"/>
    <n v="0.05"/>
    <n v="3.0000000000000001E-3"/>
    <n v="16.666666666666668"/>
    <n v="3.0000000000000001E-3"/>
    <n v="78.723404255319153"/>
    <n v="100"/>
    <n v="59.574468085106389"/>
    <n v="100"/>
    <n v="63.829787234042549"/>
    <n v="74.468085106382972"/>
    <n v="72.340425531914889"/>
    <n v="51.063829787234042"/>
    <n v="82.978723404255319"/>
    <n v="46.808510638297875"/>
    <n v="70.212765957446805"/>
    <n v="78.723404255319153"/>
    <n v="53.191489361702118"/>
    <n v="70.212765957446805"/>
    <n v="46.808510638297875"/>
    <n v="78.723404255319153"/>
    <n v="38.297872340425535"/>
    <n v="57.446808510638299"/>
    <n v="97.872340425531917"/>
    <n v="0"/>
    <n v="80.851063829787236"/>
    <n v="68.085106382978722"/>
    <n v="57.446808510638299"/>
    <n v="48.936170212765958"/>
    <n v="100"/>
    <n v="0"/>
    <n v="65.691489361702125"/>
    <n v="22.069521753372431"/>
    <n v="0.33595709227805809"/>
    <n v="0.78723404255319163"/>
    <n v="1"/>
    <n v="0.59574468085106391"/>
    <n v="1"/>
    <n v="0.63829787234042556"/>
    <n v="0.74468085106382986"/>
    <n v="0.72340425531914898"/>
    <n v="0.5106382978723405"/>
    <n v="0.82978723404255339"/>
    <n v="0.46808510638297873"/>
    <n v="0.7021276595744681"/>
    <n v="0.78723404255319163"/>
    <n v="0.53191489361702116"/>
    <n v="0.7021276595744681"/>
    <n v="0.46808510638297873"/>
    <n v="0.78723404255319163"/>
    <n v="0.38297872340425543"/>
    <n v="0.57446808510638303"/>
    <n v="0.97872340425531934"/>
    <n v="0"/>
    <n v="0.8085106382978724"/>
    <n v="0.68085106382978733"/>
    <n v="0.57446808510638303"/>
    <n v="0.48936170212765967"/>
    <n v="1"/>
    <n v="15.744680851063832"/>
    <n v="20"/>
    <n v="11.914893617021278"/>
    <n v="20"/>
    <n v="12.76595744680851"/>
    <n v="14.893617021276595"/>
    <n v="14.468085106382979"/>
    <n v="10.212765957446809"/>
    <n v="16.595744680851066"/>
    <n v="9.3617021276595747"/>
    <n v="14.042553191489361"/>
    <n v="15.744680851063832"/>
    <n v="10.638297872340424"/>
    <n v="14.042553191489361"/>
    <n v="9.3617021276595747"/>
    <n v="15.744680851063832"/>
    <n v="7.6595744680851077"/>
    <n v="11.48936170212766"/>
    <n v="19.574468085106385"/>
    <n v="0"/>
    <n v="16.170212765957448"/>
    <n v="13.617021276595745"/>
    <n v="11.48936170212766"/>
    <n v="9.7872340425531927"/>
    <m/>
  </r>
  <r>
    <n v="2017"/>
    <x v="0"/>
    <n v="0.05"/>
    <n v="0.2"/>
    <s v="Apoya "/>
    <x v="3"/>
    <x v="3"/>
    <s v="INEC: Censo de Población y Vivienda"/>
    <n v="2014"/>
    <s v="%"/>
    <n v="0.89200000000000002"/>
    <n v="0.877"/>
    <n v="0.86599999999999999"/>
    <n v="0.86699999999999999"/>
    <n v="0.91100000000000003"/>
    <n v="0.89700000000000002"/>
    <n v="0.90300000000000002"/>
    <n v="0.88800000000000001"/>
    <n v="0.98799999999999999"/>
    <n v="0.872"/>
    <n v="0.93600000000000005"/>
    <n v="0.89100000000000001"/>
    <n v="0.85699999999999998"/>
    <n v="0.89800000000000002"/>
    <n v="0.85699999999999998"/>
    <n v="0.91200000000000003"/>
    <n v="0.85899999999999999"/>
    <n v="0.91300000000000003"/>
    <n v="0.93799999999999994"/>
    <n v="0.878"/>
    <n v="0.89200000000000002"/>
    <n v="0.874"/>
    <n v="0.88"/>
    <n v="0.89100000000000001"/>
    <n v="0.89200000000000002"/>
    <n v="0.89320833333333327"/>
    <n v="3.0046310873407565E-2"/>
    <n v="3.3638636981003944E-2"/>
    <e v="#REF!"/>
    <n v="0.98799999999999999"/>
    <n v="0.85699999999999998"/>
    <n v="1.1528588098016337"/>
    <n v="0.98799999999999999"/>
    <n v="26.717557251908421"/>
    <n v="15.267175572519099"/>
    <n v="6.8702290076335935"/>
    <n v="7.6335877862595494"/>
    <n v="41.221374045801561"/>
    <n v="30.534351145038197"/>
    <n v="35.114503816793921"/>
    <n v="23.6641221374046"/>
    <n v="100"/>
    <n v="11.450381679389322"/>
    <n v="60.305343511450438"/>
    <n v="25.954198473282464"/>
    <n v="0"/>
    <n v="31.297709923664147"/>
    <n v="0"/>
    <n v="41.984732824427518"/>
    <n v="1.5267175572519098"/>
    <n v="42.748091603053474"/>
    <n v="61.832061068702259"/>
    <n v="16.03053435114505"/>
    <n v="26.717557251908421"/>
    <n v="12.977099236641232"/>
    <n v="17.55725190839696"/>
    <n v="25.954198473282464"/>
    <n v="100"/>
    <n v="0"/>
    <n v="27.639949109414776"/>
    <n v="22.936115170540123"/>
    <n v="0.82981756152103681"/>
    <n v="0.26717557251908425"/>
    <n v="0.15267175572519101"/>
    <n v="6.8702290076335937E-2"/>
    <n v="7.6335877862595505E-2"/>
    <n v="0.41221374045801568"/>
    <n v="0.30534351145038202"/>
    <n v="0.35114503816793924"/>
    <n v="0.236641221374046"/>
    <n v="1"/>
    <n v="0.11450381679389324"/>
    <n v="0.60305343511450449"/>
    <n v="0.25954198473282464"/>
    <n v="0"/>
    <n v="0.31297709923664152"/>
    <n v="0"/>
    <n v="0.41984732824427518"/>
    <n v="1.5267175572519099E-2"/>
    <n v="0.42748091603053484"/>
    <n v="0.61832061068702271"/>
    <n v="0.16030534351145054"/>
    <n v="0.26717557251908425"/>
    <n v="0.12977099236641232"/>
    <n v="0.17557251908396962"/>
    <n v="0.25954198473282464"/>
    <n v="1"/>
    <n v="5.3435114503816843"/>
    <n v="3.0534351145038201"/>
    <n v="1.3740458015267187"/>
    <n v="1.5267175572519101"/>
    <n v="8.2442748091603129"/>
    <n v="6.1068702290076402"/>
    <n v="7.0229007633587841"/>
    <n v="4.7328244274809199"/>
    <n v="20"/>
    <n v="2.2900763358778646"/>
    <n v="12.061068702290088"/>
    <n v="5.1908396946564928"/>
    <n v="0"/>
    <n v="6.25954198473283"/>
    <n v="0"/>
    <n v="8.3969465648855035"/>
    <n v="0.30534351145038197"/>
    <n v="8.5496183206106959"/>
    <n v="12.366412213740453"/>
    <n v="3.2061068702290103"/>
    <n v="5.3435114503816843"/>
    <n v="2.5954198473282464"/>
    <n v="3.5114503816793921"/>
    <n v="5.1908396946564928"/>
    <m/>
  </r>
  <r>
    <n v="2017"/>
    <x v="0"/>
    <n v="0.05"/>
    <n v="0.2"/>
    <s v="Destruye"/>
    <x v="4"/>
    <x v="4"/>
    <s v="INEC: Encuesta Urbana de Empleo y Desempleo "/>
    <n v="2015"/>
    <s v="%"/>
    <n v="0.159"/>
    <n v="0.39500000000000002"/>
    <n v="0.22800000000000001"/>
    <n v="0.33500000000000002"/>
    <n v="0.435"/>
    <n v="0.26900000000000002"/>
    <n v="0.16400000000000001"/>
    <n v="0.46200000000000002"/>
    <n v="7.0000000000000001E-3"/>
    <n v="0.17299999999999999"/>
    <n v="0.26500000000000001"/>
    <n v="0.23400000000000001"/>
    <n v="0.29199999999999998"/>
    <n v="0.33300000000000002"/>
    <n v="0.504"/>
    <n v="0.51"/>
    <n v="0.47399999999999998"/>
    <n v="0.45700000000000002"/>
    <n v="0.112"/>
    <n v="0.39300000000000002"/>
    <n v="0.17799999999999999"/>
    <n v="0.33800000000000002"/>
    <n v="0.308"/>
    <n v="0.223"/>
    <n v="0.17799999999999999"/>
    <n v="0.30199999999999999"/>
    <n v="0.13429558573469966"/>
    <n v="0.44468736998244923"/>
    <n v="43590.75"/>
    <n v="0.51"/>
    <n v="7.0000000000000001E-3"/>
    <n v="72.857142857142861"/>
    <n v="7.0000000000000001E-3"/>
    <n v="69.781312127236589"/>
    <n v="0.55607857414983641"/>
    <n v="100.47392916904822"/>
    <n v="-0.22126033820140378"/>
    <n v="99.348270417471966"/>
    <n v="0.49237988215935502"/>
    <n v="100.33218038943471"/>
    <n v="-3.0428628668104807E-2"/>
    <n v="99.962706600561418"/>
    <n v="0.20344259453587199"/>
    <n v="99.938294046094398"/>
    <n v="3.0638643382303599E-2"/>
    <n v="99.738397067207529"/>
    <n v="0.30324757210212283"/>
    <n v="99.798107179486109"/>
    <n v="0.20780212034445356"/>
    <n v="99.732707034587889"/>
    <n v="0.25038745816463859"/>
    <n v="100.13910759093059"/>
    <n v="0.14277141767939838"/>
    <n v="99.964770126917884"/>
    <n v="0.19557671139129695"/>
    <n v="99.887316630755478"/>
    <n v="2.7508085053867148E-2"/>
    <n v="100.47392916904822"/>
    <n v="-0.22126033820140378"/>
    <n v="48.802301769659444"/>
    <n v="50.032388167053519"/>
    <n v="1.02520549959303"/>
    <n v="0.69781312127236594"/>
    <n v="5.5607857414983648E-3"/>
    <n v="1.0047392916904823"/>
    <n v="-2.2126033820140381E-3"/>
    <n v="0.99348270417471984"/>
    <n v="4.9237988215935502E-3"/>
    <n v="1.0033218038943472"/>
    <n v="-3.0428628668104812E-4"/>
    <n v="0.99962706600561424"/>
    <n v="2.03442594535872E-3"/>
    <n v="0.99938294046094411"/>
    <n v="3.06386433823036E-4"/>
    <n v="0.99738397067207529"/>
    <n v="3.0324757210212286E-3"/>
    <n v="0.99798107179486117"/>
    <n v="2.0780212034445357E-3"/>
    <n v="0.99732707034587897"/>
    <n v="2.5038745816463861E-3"/>
    <n v="1.0013910759093061"/>
    <n v="1.427714176793984E-3"/>
    <n v="0.99964770126917901"/>
    <n v="1.9557671139129695E-3"/>
    <n v="0.99887316630755485"/>
    <n v="2.7508085053867153E-4"/>
    <n v="1.0047392916904823"/>
    <n v="13.956262425447319"/>
    <n v="0.11121571482996728"/>
    <n v="20.094785833809645"/>
    <n v="-4.4252067640280758E-2"/>
    <n v="19.869654083494396"/>
    <n v="9.8475976431871004E-2"/>
    <n v="20.066436077886944"/>
    <n v="-6.0857257336209619E-3"/>
    <n v="19.992541320112284"/>
    <n v="4.0688518907174398E-2"/>
    <n v="19.987658809218882"/>
    <n v="6.1277286764607197E-3"/>
    <n v="19.947679413441506"/>
    <n v="6.0649514420424572E-2"/>
    <n v="19.959621435897223"/>
    <n v="4.1560424068890711E-2"/>
    <n v="19.946541406917579"/>
    <n v="5.0077491632927719E-2"/>
    <n v="20.027821518186119"/>
    <n v="2.8554283535879677E-2"/>
    <n v="19.992954025383579"/>
    <n v="3.9115342278259392E-2"/>
    <n v="19.977463326151096"/>
    <n v="5.5016170107734302E-3"/>
    <m/>
  </r>
  <r>
    <n v="2017"/>
    <x v="1"/>
    <n v="0.15"/>
    <n v="0.1111111111111111"/>
    <s v="Apoya "/>
    <x v="5"/>
    <x v="5"/>
    <s v="Banco Central del Ecuador, y, Proyecciones de Población 2001 - 2010"/>
    <n v="2015"/>
    <s v="USD (2000)"/>
    <n v="12304.490291482924"/>
    <n v="4975.4068347116536"/>
    <n v="8230.5928392812784"/>
    <n v="6800.9128790105415"/>
    <n v="7172.5143530674413"/>
    <n v="7213.5452334659558"/>
    <n v="9462.0154964277099"/>
    <n v="9376.2958844757577"/>
    <n v="13398.252414678274"/>
    <n v="12303.136611034963"/>
    <n v="8037.5797045173604"/>
    <n v="6652.482124780393"/>
    <n v="7234.0512767360497"/>
    <n v="7433.0521921895643"/>
    <n v="4976.8694802065465"/>
    <n v="5550.1889011365629"/>
    <n v="49506.1570241753"/>
    <n v="13102.979191112276"/>
    <n v="17287.329274821695"/>
    <n v="20812.623276408282"/>
    <n v="10002.265859499257"/>
    <n v="5075.5653719676729"/>
    <n v="8926.2207603332336"/>
    <n v="8337.1347563980817"/>
    <n v="10002.265859499257"/>
    <n v="11007.152584663281"/>
    <n v="9078.7569443443281"/>
    <n v="0.82480522319588212"/>
    <n v="0.97899999999999998"/>
    <n v="49506.1570241753"/>
    <n v="4975.4068347116536"/>
    <n v="9.9501726529755015"/>
    <n v="49506.1570241753"/>
    <n v="16.458477401769425"/>
    <n v="0"/>
    <n v="7.3099734244760821"/>
    <n v="4.0994280054388534"/>
    <n v="4.9339108571219228"/>
    <n v="5.0260514121854269"/>
    <n v="10.075304464054653"/>
    <n v="9.8828091398410614"/>
    <n v="18.914672544545493"/>
    <n v="16.455437523837432"/>
    <n v="6.8765355552672522"/>
    <n v="3.7661060793571579"/>
    <n v="5.0721005876043179"/>
    <n v="5.5189848520885922"/>
    <n v="3.2845741171435329E-3"/>
    <n v="1.2907531626559205"/>
    <n v="100"/>
    <n v="18.251595407264606"/>
    <n v="27.648136148003065"/>
    <n v="35.564674689544859"/>
    <n v="11.288511878645604"/>
    <n v="0.22491994145591049"/>
    <n v="8.8721027802410042"/>
    <n v="7.5492281342294607"/>
    <n v="100"/>
    <n v="0"/>
    <n v="13.54512494015605"/>
    <n v="20.38761284217583"/>
    <n v="1.5051624058287165"/>
    <n v="0.27430795669615704"/>
    <n v="0"/>
    <n v="0.1218328904079347"/>
    <n v="6.8323800090647563E-2"/>
    <n v="8.2231847618698714E-2"/>
    <n v="8.3767523536423777E-2"/>
    <n v="0.16792174106757754"/>
    <n v="0.16471348566401767"/>
    <n v="0.3152445424090915"/>
    <n v="0.27425729206395716"/>
    <n v="0.11460892592112085"/>
    <n v="6.2768434655952637E-2"/>
    <n v="8.4535009793405294E-2"/>
    <n v="9.1983080868143205E-2"/>
    <n v="5.4742901952392208E-5"/>
    <n v="2.1512552710932005E-2"/>
    <n v="1.6666666666666665"/>
    <n v="0.30419325678774339"/>
    <n v="0.46080226913338435"/>
    <n v="0.59274457815908088"/>
    <n v="0.18814186464409338"/>
    <n v="3.7486656909318412E-3"/>
    <n v="0.14786837967068339"/>
    <n v="0.12582046890382431"/>
    <n v="1.6666666666666665"/>
    <n v="1.8287197113077138"/>
    <n v="0"/>
    <n v="0.81221926938623135"/>
    <n v="0.45549200060431705"/>
    <n v="0.54821231745799137"/>
    <n v="0.55845015690949185"/>
    <n v="1.1194782737838502"/>
    <n v="1.0980899044267844"/>
    <n v="2.1016302827272768"/>
    <n v="1.8283819470930478"/>
    <n v="0.76405950614080576"/>
    <n v="0.41845623103968421"/>
    <n v="0.56356673195603524"/>
    <n v="0.61322053912095464"/>
    <n v="3.6495267968261475E-4"/>
    <n v="0.14341701807288004"/>
    <n v="11.111111111111111"/>
    <n v="2.0279550452516228"/>
    <n v="3.072015127555896"/>
    <n v="3.9516305210605398"/>
    <n v="1.2542790976272893"/>
    <n v="2.4991104606212275E-2"/>
    <n v="0.98578919780455598"/>
    <n v="0.83880312602549556"/>
    <m/>
  </r>
  <r>
    <n v="2017"/>
    <x v="1"/>
    <n v="0.15"/>
    <n v="0.1111111111111111"/>
    <s v="Apoya "/>
    <x v="6"/>
    <x v="6"/>
    <s v="https://www.bce.fin.ec/index.php/component/k2/item/756_x000a__x000a_Sector real / Cuentas regionales/ Aplicativo cuentas provinciales 2015 (SD)"/>
    <n v="2015"/>
    <s v="USD (2000)"/>
    <n v="6692.2137505105557"/>
    <n v="3020.9089403657858"/>
    <n v="4553.1369813348729"/>
    <n v="4162.0281794137227"/>
    <n v="4054.1702230489632"/>
    <n v="4230.9816263363391"/>
    <n v="5482.3647933465791"/>
    <n v="4716.173126556454"/>
    <n v="8238.8319649306213"/>
    <n v="6695.7418078753826"/>
    <n v="4713.5965093224031"/>
    <n v="4093.0451644920267"/>
    <n v="4569.5828659099825"/>
    <n v="4088.0164056105477"/>
    <n v="3061.2712696390799"/>
    <n v="3546.2057233438063"/>
    <n v="25411.599688486778"/>
    <n v="7303.5775721818345"/>
    <n v="9825.3067633846022"/>
    <n v="10260.271750716533"/>
    <n v="5463.9175595803617"/>
    <n v="3168.9981908540035"/>
    <n v="4061.8835519881172"/>
    <n v="4890.2088558568748"/>
    <n v="5463.9175595803617"/>
    <n v="6096.00138604526"/>
    <n v="4564.3485083405649"/>
    <n v="0.74874466380357163"/>
    <n v="0.97899999999999998"/>
    <n v="25411.599688486778"/>
    <n v="3020.9089403657858"/>
    <n v="8.411905221284103"/>
    <n v="25411.599688486778"/>
    <n v="16.396567892631282"/>
    <n v="0"/>
    <n v="6.8431477090436355"/>
    <n v="5.0964003383580234"/>
    <n v="4.6146914104018322"/>
    <n v="5.404356210279496"/>
    <n v="10.993210886927891"/>
    <n v="7.5712902529946877"/>
    <n v="23.30398415691003"/>
    <n v="16.412324697119875"/>
    <n v="7.5597827150494057"/>
    <n v="4.7883124115597617"/>
    <n v="6.9165973616698713"/>
    <n v="4.7658532612903537"/>
    <n v="0.18026388612723473"/>
    <n v="2.3460499226541409"/>
    <n v="100"/>
    <n v="19.127005414852803"/>
    <n v="30.389405577359579"/>
    <n v="32.332020891129801"/>
    <n v="10.910822925012221"/>
    <n v="0.66138759252277723"/>
    <n v="4.6491402312351129"/>
    <n v="8.3485584992412925"/>
    <n v="100"/>
    <n v="0"/>
    <n v="13.733798926848793"/>
    <n v="20.385027687114125"/>
    <n v="1.4842963549773951"/>
    <n v="0.27327613154385466"/>
    <n v="0"/>
    <n v="0.11405246181739392"/>
    <n v="8.4940005639300389E-2"/>
    <n v="7.6911523506697194E-2"/>
    <n v="9.0072603504658261E-2"/>
    <n v="0.18322018144879818"/>
    <n v="0.12618817088324477"/>
    <n v="0.38839973594850047"/>
    <n v="0.27353874495199787"/>
    <n v="0.12599637858415674"/>
    <n v="7.9805206859329361E-2"/>
    <n v="0.11527662269449784"/>
    <n v="7.9430887688172552E-2"/>
    <n v="3.0043981021205786E-3"/>
    <n v="3.910083204423568E-2"/>
    <n v="1.6666666666666665"/>
    <n v="0.31878342358088002"/>
    <n v="0.5064900929559929"/>
    <n v="0.53886701485216326"/>
    <n v="0.18184704875020366"/>
    <n v="1.1023126542046286E-2"/>
    <n v="7.7485670520585206E-2"/>
    <n v="0.13914264165402154"/>
    <n v="1.6666666666666665"/>
    <n v="1.8218408769590313"/>
    <n v="0"/>
    <n v="0.76034974544929279"/>
    <n v="0.56626670426200254"/>
    <n v="0.51274349004464803"/>
    <n v="0.60048402336438844"/>
    <n v="1.2214678763253211"/>
    <n v="0.84125447255496522"/>
    <n v="2.589331572990003"/>
    <n v="1.8235916330133193"/>
    <n v="0.83997585722771173"/>
    <n v="0.53203471239552902"/>
    <n v="0.76851081796331899"/>
    <n v="0.52953925125448376"/>
    <n v="2.0029320680803857E-2"/>
    <n v="0.26067221362823789"/>
    <n v="11.111111111111111"/>
    <n v="2.1252228238725337"/>
    <n v="3.3766006197066196"/>
    <n v="3.592446765681089"/>
    <n v="1.2123136583346912"/>
    <n v="7.3487510280308574E-2"/>
    <n v="0.51657113680390143"/>
    <n v="0.92761761102681017"/>
    <m/>
  </r>
  <r>
    <n v="2017"/>
    <x v="1"/>
    <n v="0.15"/>
    <n v="0.1111111111111111"/>
    <s v="Apoya "/>
    <x v="7"/>
    <x v="7"/>
    <s v="Servicio de Rentas Internas, y, Proyecciones de Población 2001 - 2010"/>
    <n v="2016"/>
    <s v="USD por mil Hbts"/>
    <n v="684277.0315716156"/>
    <n v="64462.280046394873"/>
    <n v="144662.4541708114"/>
    <n v="114666.08124042689"/>
    <n v="142749.90852215854"/>
    <n v="201543.6787429284"/>
    <n v="305857.52285406535"/>
    <n v="131047.38482883101"/>
    <n v="1194389.309982487"/>
    <n v="940766.33758270182"/>
    <n v="252273.55677423888"/>
    <n v="165633.2710806609"/>
    <n v="90331.499297661649"/>
    <n v="136899.98548526046"/>
    <n v="99299.642828173572"/>
    <n v="116615.59061496478"/>
    <n v="177691.4103786035"/>
    <n v="151858.23478250505"/>
    <n v="2245093.7821647977"/>
    <n v="128727.9346298563"/>
    <n v="337737.64265938406"/>
    <n v="673820.24295219744"/>
    <n v="79667.861402752897"/>
    <n v="187405.17583346239"/>
    <n v="337737.64265938406"/>
    <n v="365311.57585112256"/>
    <n v="495615.08385786333"/>
    <n v="1.3566914289621199"/>
    <n v="0.95669999999999999"/>
    <n v="2245093.7821647977"/>
    <n v="64462.280046394873"/>
    <n v="34.828023156316469"/>
    <n v="2245093.7821647977"/>
    <n v="28.42363558093578"/>
    <n v="0"/>
    <n v="3.6778416732265411"/>
    <n v="2.3022597419720339"/>
    <n v="3.5901356281292887"/>
    <n v="6.28631653552487"/>
    <n v="11.069969528238216"/>
    <n v="3.0534780735649818"/>
    <n v="51.816504936226501"/>
    <n v="40.185792816668474"/>
    <n v="8.612701253989604"/>
    <n v="4.6395271707293118"/>
    <n v="1.1863177811627406"/>
    <n v="3.3218682463540969"/>
    <n v="1.5975813771348113"/>
    <n v="2.3916608797912393"/>
    <n v="5.1924926436314767"/>
    <n v="4.0078277623343626"/>
    <n v="100"/>
    <n v="2.9471120875319707"/>
    <n v="12.531936842493211"/>
    <n v="27.94410528848335"/>
    <n v="0.69730173766573422"/>
    <n v="5.6379491751647652"/>
    <n v="100"/>
    <n v="0"/>
    <n v="13.796429865039721"/>
    <n v="22.728053014752447"/>
    <n v="1.6473865512371095"/>
    <n v="0.47372725968226298"/>
    <n v="0"/>
    <n v="6.129736122044234E-2"/>
    <n v="3.8370995699533894E-2"/>
    <n v="5.9835593802154807E-2"/>
    <n v="0.10477194225874782"/>
    <n v="0.18449949213730357"/>
    <n v="5.0891301226083027E-2"/>
    <n v="0.86360841560377488"/>
    <n v="0.66976321361114111"/>
    <n v="0.14354502089982671"/>
    <n v="7.7325452845488529E-2"/>
    <n v="1.9771963019379005E-2"/>
    <n v="5.5364470772568279E-2"/>
    <n v="2.6626356285580188E-2"/>
    <n v="3.9861014663187318E-2"/>
    <n v="8.6541544060524611E-2"/>
    <n v="6.6797129372239375E-2"/>
    <n v="1.6666666666666665"/>
    <n v="4.9118534792199513E-2"/>
    <n v="0.20886561404155349"/>
    <n v="0.46573508814138914"/>
    <n v="1.1621695627762236E-2"/>
    <n v="9.3965819586079413E-2"/>
    <n v="1.6666666666666665"/>
    <n v="3.1581817312150866"/>
    <n v="0"/>
    <n v="0.40864907480294899"/>
    <n v="0.25580663799689263"/>
    <n v="0.39890395868103207"/>
    <n v="0.6984796150583189"/>
    <n v="1.2299966142486907"/>
    <n v="0.33927534150722016"/>
    <n v="5.7573894373584995"/>
    <n v="4.4650880907409416"/>
    <n v="0.95696680599884487"/>
    <n v="0.51550301896992345"/>
    <n v="0.13181308679586007"/>
    <n v="0.36909647181712185"/>
    <n v="0.1775090419038679"/>
    <n v="0.26574009775458213"/>
    <n v="0.576943627070164"/>
    <n v="0.44531419581492915"/>
    <n v="11.111111111111111"/>
    <n v="0.32745689861466337"/>
    <n v="1.3924374269436901"/>
    <n v="3.104900587609261"/>
    <n v="7.7477970851748248E-2"/>
    <n v="0.62643879724052942"/>
    <m/>
  </r>
  <r>
    <n v="2017"/>
    <x v="1"/>
    <n v="0.15"/>
    <n v="0.1111111111111111"/>
    <s v="Apoya "/>
    <x v="8"/>
    <x v="8"/>
    <s v="https://www.bce.fin.ec/index.php/component/k2/item/756_x000a__x000a_Sector real / Cuentas regionales/ Aplicativo cuentas provinciales 2015 (SD)_x000a_Usar adicionalmente la población provincial"/>
    <n v="2015"/>
    <s v="USD (2000)"/>
    <n v="6.69"/>
    <n v="3.04"/>
    <n v="4.63"/>
    <n v="4.16"/>
    <n v="4.12"/>
    <n v="4.58"/>
    <n v="5.57"/>
    <n v="4.41"/>
    <n v="9.83"/>
    <n v="7.18"/>
    <n v="5.41"/>
    <n v="4.3099999999999996"/>
    <n v="5.17"/>
    <n v="4.55"/>
    <n v="3.22"/>
    <n v="3.59"/>
    <n v="3.3"/>
    <n v="4.79"/>
    <n v="10"/>
    <n v="4.24"/>
    <n v="6.26"/>
    <n v="3.29"/>
    <n v="7.74"/>
    <n v="4.8899999999999997"/>
    <n v="6.26"/>
    <n v="5.2070833333333342"/>
    <n v="1.8972668652488009"/>
    <n v="0.36436268517221104"/>
    <n v="0.41499999999999998"/>
    <n v="10"/>
    <n v="3.04"/>
    <n v="3.2894736842105261"/>
    <n v="10"/>
    <n v="52.442528735632187"/>
    <n v="0"/>
    <n v="22.844827586206897"/>
    <n v="16.09195402298851"/>
    <n v="15.517241379310345"/>
    <n v="22.126436781609197"/>
    <n v="36.350574712643677"/>
    <n v="19.683908045977013"/>
    <n v="97.557471264367805"/>
    <n v="59.482758620689644"/>
    <n v="34.051724137931039"/>
    <n v="18.247126436781603"/>
    <n v="30.603448275862068"/>
    <n v="21.695402298850571"/>
    <n v="2.5862068965517264"/>
    <n v="7.9022988505747103"/>
    <n v="3.7356321839080429"/>
    <n v="25.143678160919542"/>
    <n v="100"/>
    <n v="17.241379310344833"/>
    <n v="46.264367816091948"/>
    <n v="3.5919540229885056"/>
    <n v="67.52873563218391"/>
    <n v="26.580459770114938"/>
    <n v="100"/>
    <n v="0"/>
    <n v="31.136254789272034"/>
    <n v="27.259581397252884"/>
    <n v="0.87549326602521083"/>
    <n v="0.87404214559386961"/>
    <n v="0"/>
    <n v="0.38074712643678155"/>
    <n v="0.26819923371647514"/>
    <n v="0.25862068965517238"/>
    <n v="0.36877394636015326"/>
    <n v="0.60584291187739459"/>
    <n v="0.32806513409961685"/>
    <n v="1.6259578544061299"/>
    <n v="0.9913793103448274"/>
    <n v="0.56752873563218398"/>
    <n v="0.30411877394636"/>
    <n v="0.51005747126436773"/>
    <n v="0.36159003831417613"/>
    <n v="4.3103448275862107E-2"/>
    <n v="0.13170498084291182"/>
    <n v="6.2260536398467375E-2"/>
    <n v="0.41906130268199232"/>
    <n v="1.6666666666666665"/>
    <n v="0.2873563218390805"/>
    <n v="0.77107279693486575"/>
    <n v="5.9865900383141754E-2"/>
    <n v="1.125478927203065"/>
    <n v="0.44300766283524895"/>
    <n v="1.6666666666666665"/>
    <n v="5.8269476372924647"/>
    <n v="0"/>
    <n v="2.5383141762452106"/>
    <n v="1.7879948914431676"/>
    <n v="1.7241379310344827"/>
    <n v="2.4584929757343552"/>
    <n v="4.0389527458492971"/>
    <n v="2.1871008939974459"/>
    <n v="10.8397190293742"/>
    <n v="6.6091954022988491"/>
    <n v="3.7835249042145596"/>
    <n v="2.0274584929757333"/>
    <n v="3.4003831417624517"/>
    <n v="2.4106002554278412"/>
    <n v="0.28735632183908072"/>
    <n v="0.87803320561941223"/>
    <n v="0.41507024265644921"/>
    <n v="2.793742017879949"/>
    <n v="11.111111111111111"/>
    <n v="1.9157088122605368"/>
    <n v="5.1404853128991048"/>
    <n v="0.39910600255427836"/>
    <n v="7.5031928480204337"/>
    <n v="2.9533844189016598"/>
    <m/>
  </r>
  <r>
    <n v="2017"/>
    <x v="1"/>
    <n v="0.15"/>
    <n v="0.1111111111111111"/>
    <s v="Apoya "/>
    <x v="9"/>
    <x v="9"/>
    <s v="http://www.ecuadorencifras.gob.ec/enemdu-2017/_x000a__x000a_Base de Datos (En formato SPSS)"/>
    <n v="2015"/>
    <s v="USD (2000)"/>
    <n v="12.3"/>
    <n v="5.01"/>
    <n v="8.36"/>
    <n v="6.8"/>
    <n v="7.29"/>
    <n v="7.81"/>
    <n v="9.6199999999999992"/>
    <n v="6.97"/>
    <n v="15.99"/>
    <n v="13.2"/>
    <n v="9.23"/>
    <n v="7"/>
    <n v="8.19"/>
    <n v="8.27"/>
    <n v="5.24"/>
    <n v="5.62"/>
    <n v="5.15"/>
    <n v="7.75"/>
    <n v="17.59"/>
    <n v="6.69"/>
    <n v="11.46"/>
    <n v="5.27"/>
    <n v="12.62"/>
    <n v="8.34"/>
    <n v="11.46"/>
    <n v="8.8237500000000022"/>
    <n v="3.4038173104044063"/>
    <n v="0.38575631793788417"/>
    <n v="0.41499999999999998"/>
    <n v="17.59"/>
    <n v="5.01"/>
    <n v="3.5109780439121758"/>
    <n v="17.59"/>
    <n v="57.949125596184423"/>
    <n v="0"/>
    <n v="26.629570747217802"/>
    <n v="14.22893481717011"/>
    <n v="18.124006359300481"/>
    <n v="22.257551669316374"/>
    <n v="36.645468998410166"/>
    <n v="15.580286168521463"/>
    <n v="87.281399046104937"/>
    <n v="65.103338632750393"/>
    <n v="33.545310015898252"/>
    <n v="15.818759936406998"/>
    <n v="25.278219395866451"/>
    <n v="25.914149443561207"/>
    <n v="1.8282988871224199"/>
    <n v="4.8489666136724985"/>
    <n v="1.1128775834658231"/>
    <n v="21.78060413354531"/>
    <n v="100"/>
    <n v="13.35453100158983"/>
    <n v="51.271860095389513"/>
    <n v="2.0667726550079477"/>
    <n v="60.492845786963436"/>
    <n v="26.47058823529412"/>
    <n v="100"/>
    <n v="0"/>
    <n v="30.315977742448336"/>
    <n v="27.057371306871278"/>
    <n v="0.89251191357703208"/>
    <n v="0.96581875993640698"/>
    <n v="0"/>
    <n v="0.44382617912029665"/>
    <n v="0.23714891361950183"/>
    <n v="0.30206677265500798"/>
    <n v="0.3709591944886062"/>
    <n v="0.61075781664016937"/>
    <n v="0.25967143614202437"/>
    <n v="1.4546899841017489"/>
    <n v="1.0850556438791732"/>
    <n v="0.55908850026497081"/>
    <n v="0.26364599894011659"/>
    <n v="0.42130365659777413"/>
    <n v="0.43190249072602011"/>
    <n v="3.0471648118707E-2"/>
    <n v="8.0816110227874965E-2"/>
    <n v="1.8547959724430383E-2"/>
    <n v="0.36301006889242182"/>
    <n v="1.6666666666666665"/>
    <n v="0.22257551669316381"/>
    <n v="0.85453100158982509"/>
    <n v="3.4446210916799128E-2"/>
    <n v="1.0082140964493904"/>
    <n v="0.44117647058823528"/>
    <n v="1.6666666666666665"/>
    <n v="6.4387917329093796"/>
    <n v="0"/>
    <n v="2.958841194135311"/>
    <n v="1.5809927574633456"/>
    <n v="2.0137784843667199"/>
    <n v="2.4730612965907079"/>
    <n v="4.071718777601129"/>
    <n v="1.7311429076134957"/>
    <n v="9.6979332273449916"/>
    <n v="7.233704292527821"/>
    <n v="3.7272566684331387"/>
    <n v="1.7576399929341109"/>
    <n v="2.8086910439851609"/>
    <n v="2.8793499381734673"/>
    <n v="0.20314432079137998"/>
    <n v="0.53877406818583318"/>
    <n v="0.12365306482953589"/>
    <n v="2.4200671259494788"/>
    <n v="11.111111111111111"/>
    <n v="1.4838367779544255"/>
    <n v="5.6968733439321682"/>
    <n v="0.22964140611199418"/>
    <n v="6.7214273096626034"/>
    <n v="2.9411764705882355"/>
    <m/>
  </r>
  <r>
    <n v="2017"/>
    <x v="1"/>
    <n v="0.15"/>
    <n v="0.1111111111111111"/>
    <s v="Destruye"/>
    <x v="10"/>
    <x v="10"/>
    <s v="Coordinación de Proyectos Estratégicos - MIPRO "/>
    <n v="2016"/>
    <s v="índice de concentación"/>
    <n v="0.22739999999999999"/>
    <n v="0.23350000000000001"/>
    <n v="0.26400000000000001"/>
    <n v="0.31940000000000002"/>
    <n v="0.21260000000000001"/>
    <n v="0.214"/>
    <n v="0.30790000000000001"/>
    <n v="0.22170000000000001"/>
    <n v="0.25290000000000001"/>
    <n v="0.2296"/>
    <n v="0.23139999999999999"/>
    <n v="0.21929999999999999"/>
    <n v="0.31869999999999998"/>
    <n v="0.23269999999999999"/>
    <n v="0.32400000000000001"/>
    <n v="0.24010000000000001"/>
    <n v="0.19470000000000001"/>
    <n v="0.21229999999999999"/>
    <n v="0.22789999999999999"/>
    <n v="0.28549999999999998"/>
    <n v="0.2487"/>
    <n v="0.23269999999999999"/>
    <n v="0.24199999999999999"/>
    <n v="0.36720000000000003"/>
    <n v="0.2487"/>
    <n v="0.25250833333333339"/>
    <n v="4.4295106380675402E-2"/>
    <n v="0.17542037443256153"/>
    <n v="0.20200000000000001"/>
    <n v="0.36720000000000003"/>
    <n v="0.19470000000000001"/>
    <n v="1.8859784283513097"/>
    <n v="0.19470000000000001"/>
    <n v="81.043478260869577"/>
    <n v="4.7990830331173129E-2"/>
    <n v="99.733307155100363"/>
    <n v="0.27226594615459021"/>
    <n v="100.05998926356426"/>
    <n v="-5.8389894285141963E-2"/>
    <n v="99.634143203909005"/>
    <n v="0.28095373402665302"/>
    <n v="100.0282363698401"/>
    <n v="-5.1483842636741883E-2"/>
    <n v="99.717341493325364"/>
    <n v="0.27141127674391896"/>
    <n v="99.952447804396726"/>
    <n v="-3.8835146676262866E-2"/>
    <n v="99.637133222049158"/>
    <n v="0.27984192302442068"/>
    <n v="100.08569267731764"/>
    <n v="-6.7673310245822904E-2"/>
    <n v="99.704879304523303"/>
    <n v="0.35397842491758524"/>
    <n v="100.10596625092022"/>
    <n v="-0.12157995801460686"/>
    <n v="99.637245476152145"/>
    <n v="0.48996162082637795"/>
    <n v="100.10596625092022"/>
    <n v="-0.12157995801460686"/>
    <n v="49.208262586922253"/>
    <n v="50.266164324178654"/>
    <n v="1.0214984574061665"/>
    <n v="1.3507246376811595"/>
    <n v="7.9984717218621864E-4"/>
    <n v="1.662221785918339"/>
    <n v="4.5377657692431692E-3"/>
    <n v="1.667666487726071"/>
    <n v="-9.731649047523659E-4"/>
    <n v="1.6605690533984832"/>
    <n v="4.6825622337775498E-3"/>
    <n v="1.6671372728306681"/>
    <n v="-8.5806404394569795E-4"/>
    <n v="1.6619556915554226"/>
    <n v="4.523521279065316E-3"/>
    <n v="1.6658741300732787"/>
    <n v="-6.4725244460438105E-4"/>
    <n v="1.6606188870341523"/>
    <n v="4.6640320504070113E-3"/>
    <n v="1.6680948779552938"/>
    <n v="-1.1278885040970482E-3"/>
    <n v="1.6617479884087216"/>
    <n v="5.8996404152930866E-3"/>
    <n v="1.6684327708486701"/>
    <n v="-2.0263326335767809E-3"/>
    <n v="1.6606207579358689"/>
    <n v="8.1660270137729647E-3"/>
    <n v="1.6684327708486701"/>
    <n v="9.004830917874397"/>
    <n v="5.3323144812414585E-3"/>
    <n v="11.081478572788928"/>
    <n v="3.0251771794954467E-2"/>
    <n v="11.117776584840472"/>
    <n v="-6.4877660316824404E-3"/>
    <n v="11.070460355989889"/>
    <n v="3.1217081558517001E-2"/>
    <n v="11.114248485537788"/>
    <n v="-5.7204269596379869E-3"/>
    <n v="11.079704610369484"/>
    <n v="3.0156808527102105E-2"/>
    <n v="11.105827533821858"/>
    <n v="-4.3150162973625405E-3"/>
    <n v="11.070792580227684"/>
    <n v="3.1093547002713409E-2"/>
    <n v="11.120632519701958"/>
    <n v="-7.5192566939803222E-3"/>
    <n v="11.078319922724811"/>
    <n v="3.9330936101953914E-2"/>
    <n v="11.122885138991135"/>
    <n v="-1.3508884223845205E-2"/>
    <n v="11.070805052905794"/>
    <n v="5.4440180091819772E-2"/>
    <m/>
  </r>
  <r>
    <n v="2017"/>
    <x v="1"/>
    <n v="0.15"/>
    <n v="0.1111111111111111"/>
    <s v="Apoya "/>
    <x v="11"/>
    <x v="11"/>
    <s v="INEC: Encuesta de Manufactura y Minería"/>
    <n v="2015"/>
    <s v="$ por trabajador"/>
    <n v="83715.509999999995"/>
    <n v="32914.29"/>
    <n v="84546.12"/>
    <n v="99420.05"/>
    <n v="133334.79999999999"/>
    <n v="86736.35"/>
    <n v="93887.47"/>
    <n v="108849.44"/>
    <n v="43590.75"/>
    <n v="119582"/>
    <n v="58269.05"/>
    <n v="83420.45"/>
    <n v="105276.43"/>
    <n v="92965.6"/>
    <n v="11099.8"/>
    <n v="33429.019999999997"/>
    <n v="66052.91"/>
    <n v="30577.18"/>
    <n v="211270.93"/>
    <n v="108631.07"/>
    <n v="77104.94"/>
    <n v="13874.75"/>
    <n v="73649.69"/>
    <n v="128461.75"/>
    <n v="77104.94"/>
    <n v="82527.514583333323"/>
    <n v="44207.325653881111"/>
    <n v="0.53566772096646798"/>
    <n v="0.41499999999999998"/>
    <n v="211270.93"/>
    <n v="11099.8"/>
    <n v="19.033760067748968"/>
    <n v="211270.93"/>
    <n v="36.276814743464747"/>
    <n v="10.897920194585502"/>
    <n v="36.691764691541678"/>
    <n v="44.122371692661169"/>
    <n v="61.065249519248844"/>
    <n v="37.785943457480606"/>
    <n v="41.358446645128097"/>
    <n v="48.833036012735704"/>
    <n v="16.231586443059996"/>
    <n v="54.194728280746574"/>
    <n v="23.564462068031489"/>
    <n v="36.129410869589435"/>
    <n v="47.048058328890882"/>
    <n v="40.897905706981824"/>
    <n v="0"/>
    <n v="11.155065168488582"/>
    <n v="27.453064785116617"/>
    <n v="9.7303642138604118"/>
    <n v="100"/>
    <n v="48.723944357010922"/>
    <n v="32.974355492722651"/>
    <n v="1.3862888219694822"/>
    <n v="31.248207471277201"/>
    <n v="58.630807549520249"/>
    <n v="100"/>
    <n v="0"/>
    <n v="35.683324854754694"/>
    <n v="22.084765996915301"/>
    <n v="0.61890998349534609"/>
    <n v="0.60461357905774571"/>
    <n v="0.1816320032430917"/>
    <n v="0.61152941152569451"/>
    <n v="0.73537286154435277"/>
    <n v="1.0177541586541474"/>
    <n v="0.62976572429134337"/>
    <n v="0.68930744408546829"/>
    <n v="0.81388393354559496"/>
    <n v="0.27052644071766657"/>
    <n v="0.90324547134577604"/>
    <n v="0.39274103446719144"/>
    <n v="0.60215684782649059"/>
    <n v="0.78413430548151464"/>
    <n v="0.68163176178303031"/>
    <n v="0"/>
    <n v="0.18591775280814302"/>
    <n v="0.45755107975194359"/>
    <n v="0.16217273689767353"/>
    <n v="1.6666666666666665"/>
    <n v="0.81206573928351522"/>
    <n v="0.54957259154537752"/>
    <n v="2.3104813699491369E-2"/>
    <n v="0.52080345785462001"/>
    <n v="0.97718012582533742"/>
    <n v="1.6666666666666665"/>
    <n v="4.0307571937183049"/>
    <n v="1.2108800216206113"/>
    <n v="4.0768627435046305"/>
    <n v="4.9024857436290183"/>
    <n v="6.7850277243609822"/>
    <n v="4.1984381619422892"/>
    <n v="4.595382960569788"/>
    <n v="5.4258928903039667"/>
    <n v="1.8035096047844439"/>
    <n v="6.0216364756385081"/>
    <n v="2.6182735631146099"/>
    <n v="4.0143789855099374"/>
    <n v="5.2275620365434312"/>
    <n v="4.5442117452202027"/>
    <n v="0"/>
    <n v="1.2394516853876201"/>
    <n v="3.0503405316796237"/>
    <n v="1.0811515793178235"/>
    <n v="11.111111111111111"/>
    <n v="5.4137715952234355"/>
    <n v="3.6638172769691835"/>
    <n v="0.15403209132994247"/>
    <n v="3.4720230523641331"/>
    <n v="6.5145341721689158"/>
    <m/>
  </r>
  <r>
    <n v="2017"/>
    <x v="1"/>
    <n v="0.15"/>
    <n v="0.1111111111111111"/>
    <s v="Apoya "/>
    <x v="12"/>
    <x v="12"/>
    <s v="INEC: Encuesta de Manufactura y Minería"/>
    <n v="2015"/>
    <s v="$ por trabajador"/>
    <n v="25118.86"/>
    <n v="8131.57"/>
    <n v="20301.96"/>
    <n v="14315.08"/>
    <n v="34291.370000000003"/>
    <n v="18971.990000000002"/>
    <n v="17902.88"/>
    <n v="19765.09"/>
    <n v="18709"/>
    <n v="34799.839999999997"/>
    <n v="18154.84"/>
    <n v="21751.55"/>
    <n v="21654.06"/>
    <n v="17079.28"/>
    <n v="6755"/>
    <n v="9478.7199999999993"/>
    <n v="37565.99"/>
    <n v="13156.3"/>
    <n v="43211.97"/>
    <n v="38627.800000000003"/>
    <n v="20178.400000000001"/>
    <n v="8443.75"/>
    <n v="17198.400000000001"/>
    <n v="18509.830000000002"/>
    <n v="20178.400000000001"/>
    <n v="21003.063750000001"/>
    <n v="9988.0039311752498"/>
    <n v="0.47554985549073758"/>
    <n v="0.41499999999999998"/>
    <n v="43211.97"/>
    <n v="6755"/>
    <n v="6.3970347890451515"/>
    <n v="43211.97"/>
    <n v="50.371328171266015"/>
    <n v="3.7758760533308164"/>
    <n v="37.15876552549485"/>
    <n v="20.73699487368259"/>
    <n v="75.531153576394317"/>
    <n v="33.510711394830679"/>
    <n v="30.578185735128294"/>
    <n v="35.686152743906035"/>
    <n v="32.789340419678318"/>
    <n v="76.925866302109029"/>
    <n v="31.269301864636585"/>
    <n v="41.134932497132922"/>
    <n v="40.867521354627115"/>
    <n v="28.319084114779692"/>
    <n v="0"/>
    <n v="7.4710542318793882"/>
    <n v="84.513304314648195"/>
    <n v="17.55850801643691"/>
    <n v="100"/>
    <n v="87.425806368439297"/>
    <n v="36.819845423248289"/>
    <n v="4.6321732168087468"/>
    <n v="28.645825475896658"/>
    <n v="32.243025133465565"/>
    <n v="100"/>
    <n v="0"/>
    <n v="39.081864866992518"/>
    <n v="27.396692405252686"/>
    <n v="0.70100780754684988"/>
    <n v="0.83952213618776683"/>
    <n v="6.2931267555513606E-2"/>
    <n v="0.61931275875824743"/>
    <n v="0.34561658122804317"/>
    <n v="1.2588525596065718"/>
    <n v="0.55851185658051128"/>
    <n v="0.5096364289188049"/>
    <n v="0.59476921239843383"/>
    <n v="0.54648900699463854"/>
    <n v="1.2820977717018172"/>
    <n v="0.52115503107727634"/>
    <n v="0.68558220828554861"/>
    <n v="0.68112535591045187"/>
    <n v="0.47198473524632817"/>
    <n v="0"/>
    <n v="0.12451757053132313"/>
    <n v="1.4085550719108031"/>
    <n v="0.29264180027394848"/>
    <n v="1.6666666666666665"/>
    <n v="1.4570967728073214"/>
    <n v="0.61366409038747138"/>
    <n v="7.7202886946812446E-2"/>
    <n v="0.47743042459827761"/>
    <n v="0.53738375222442603"/>
    <n v="1.6666666666666665"/>
    <n v="5.5968142412517787"/>
    <n v="0.41954178370342404"/>
    <n v="4.1287517250549834"/>
    <n v="2.3041105415202878"/>
    <n v="8.3923503973771467"/>
    <n v="3.7234123772034087"/>
    <n v="3.3975761927920325"/>
    <n v="3.9651280826562258"/>
    <n v="3.6432600466309242"/>
    <n v="8.5473184780121141"/>
    <n v="3.4743668738485094"/>
    <n v="4.5705480552369915"/>
    <n v="4.5408357060696796"/>
    <n v="3.1465649016421877"/>
    <n v="0"/>
    <n v="0.83011713687548749"/>
    <n v="9.3903671460720215"/>
    <n v="1.9509453351596566"/>
    <n v="11.111111111111111"/>
    <n v="9.7139784853821443"/>
    <n v="4.0910939359164766"/>
    <n v="0.51468591297874966"/>
    <n v="3.1828694973218505"/>
    <n v="3.5825583481628405"/>
    <m/>
  </r>
  <r>
    <n v="2017"/>
    <x v="1"/>
    <n v="0.15"/>
    <n v="0.1111111111111111"/>
    <s v="Apoya "/>
    <x v="13"/>
    <x v="13"/>
    <s v="INEC: Encuesta de Empleo, Subempleo y Desempleo (ENEMDU)"/>
    <n v="2014"/>
    <s v="Coeficiente (0-1)"/>
    <n v="0.39100000000000001"/>
    <n v="0.38700000000000001"/>
    <n v="0.376"/>
    <n v="0.36299999999999999"/>
    <n v="0.40300000000000002"/>
    <n v="0.39500000000000002"/>
    <n v="0.33900000000000002"/>
    <n v="0.36899999999999999"/>
    <n v="0.29499999999999998"/>
    <n v="0.38700000000000001"/>
    <n v="0.40600000000000003"/>
    <n v="0.4"/>
    <n v="0.35199999999999998"/>
    <n v="0.371"/>
    <n v="0.45200000000000001"/>
    <n v="0.48099999999999998"/>
    <n v="0.433"/>
    <n v="0.44900000000000001"/>
    <n v="0.40600000000000003"/>
    <n v="0.377"/>
    <n v="0.39200000000000002"/>
    <n v="0.36099999999999999"/>
    <n v="0.34"/>
    <n v="0.37"/>
    <n v="0.39200000000000002"/>
    <n v="0.38729166666666659"/>
    <n v="4.000812870303877E-2"/>
    <n v="0.10330232263291346"/>
    <n v="0.23699999999999999"/>
    <n v="0.48099999999999998"/>
    <n v="0.29499999999999998"/>
    <n v="1.6305084745762712"/>
    <n v="0.48099999999999998"/>
    <n v="51.61290322580647"/>
    <n v="49.462365591397869"/>
    <n v="43.548387096774206"/>
    <n v="36.55913978494624"/>
    <n v="58.064516129032285"/>
    <n v="53.76344086021507"/>
    <n v="23.655913978494645"/>
    <n v="39.784946236559144"/>
    <n v="0"/>
    <n v="49.462365591397869"/>
    <n v="59.677419354838733"/>
    <n v="56.451612903225822"/>
    <n v="30.645161290322577"/>
    <n v="40.860215053763447"/>
    <n v="84.408602150537646"/>
    <n v="100"/>
    <n v="74.193548387096783"/>
    <n v="82.795698924731198"/>
    <n v="59.677419354838733"/>
    <n v="44.086021505376358"/>
    <n v="52.150537634408622"/>
    <n v="35.483870967741936"/>
    <n v="24.193548387096797"/>
    <n v="40.322580645161295"/>
    <n v="100"/>
    <n v="0"/>
    <n v="49.619175627240161"/>
    <n v="21.509746614536482"/>
    <n v="0.43349665411869448"/>
    <n v="0.86021505376344098"/>
    <n v="0.82437275985663105"/>
    <n v="0.72580645161290336"/>
    <n v="0.60931899641577059"/>
    <n v="0.96774193548387122"/>
    <n v="0.89605734767025103"/>
    <n v="0.39426523297491073"/>
    <n v="0.66308243727598559"/>
    <n v="0"/>
    <n v="0.82437275985663105"/>
    <n v="0.99462365591397883"/>
    <n v="0.94086021505376372"/>
    <n v="0.51075268817204289"/>
    <n v="0.68100358422939078"/>
    <n v="1.4068100358422939"/>
    <n v="1.6666666666666665"/>
    <n v="1.2365591397849462"/>
    <n v="1.3799283154121866"/>
    <n v="0.99462365591397883"/>
    <n v="0.7347670250896059"/>
    <n v="0.86917562724014363"/>
    <n v="0.59139784946236551"/>
    <n v="0.40322580645161327"/>
    <n v="0.67204301075268813"/>
    <n v="1.6666666666666665"/>
    <n v="5.7347670250896075"/>
    <n v="5.4958183990442073"/>
    <n v="4.8387096774193559"/>
    <n v="4.0621266427718039"/>
    <n v="6.4516129032258087"/>
    <n v="5.9737156511350076"/>
    <n v="2.6284348864994049"/>
    <n v="4.4205495818399045"/>
    <n v="0"/>
    <n v="5.4958183990442073"/>
    <n v="6.630824372759859"/>
    <n v="6.2724014336917575"/>
    <n v="3.4050179211469529"/>
    <n v="4.540023894862605"/>
    <n v="9.3787335722819609"/>
    <n v="11.111111111111111"/>
    <n v="8.2437275985663092"/>
    <n v="9.1995221027479097"/>
    <n v="6.630824372759859"/>
    <n v="4.8984468339307066"/>
    <n v="5.7945041816009573"/>
    <n v="3.9426523297491038"/>
    <n v="2.6881720430107552"/>
    <n v="4.4802867383512543"/>
    <m/>
  </r>
  <r>
    <n v="2017"/>
    <x v="0"/>
    <n v="0.05"/>
    <n v="0.2"/>
    <s v="Apoya "/>
    <x v="14"/>
    <x v="14"/>
    <s v="INEC: Censo de Población y Vivienda"/>
    <n v="2014"/>
    <s v="%"/>
    <n v="0.35299999999999998"/>
    <n v="0.32600000000000001"/>
    <n v="0.28999999999999998"/>
    <n v="0.27800000000000002"/>
    <n v="0.379"/>
    <n v="0.29499999999999998"/>
    <n v="0.27800000000000002"/>
    <n v="0.27400000000000002"/>
    <n v="0.33900000000000002"/>
    <n v="0.30199999999999999"/>
    <n v="0.36799999999999999"/>
    <n v="0.46300000000000002"/>
    <n v="0.23699999999999999"/>
    <n v="0.313"/>
    <n v="0.253"/>
    <n v="0.23699999999999999"/>
    <n v="0.20200000000000001"/>
    <n v="0.30599999999999999"/>
    <n v="0.41499999999999998"/>
    <n v="0.192"/>
    <n v="0.34899999999999998"/>
    <n v="0.29099999999999998"/>
    <n v="0.17699999999999999"/>
    <n v="0.27800000000000002"/>
    <n v="0.34899999999999998"/>
    <n v="0.29979166666666668"/>
    <n v="6.8255262046976573E-2"/>
    <n v="0.22767564824564804"/>
    <e v="#REF!"/>
    <n v="0.46300000000000002"/>
    <n v="0.17699999999999999"/>
    <n v="2.6158192090395485"/>
    <n v="0.46300000000000002"/>
    <n v="61.538461538461533"/>
    <n v="52.097902097902107"/>
    <n v="39.510489510489506"/>
    <n v="35.31468531468532"/>
    <n v="70.629370629370626"/>
    <n v="41.258741258741253"/>
    <n v="35.31468531468532"/>
    <n v="33.91608391608392"/>
    <n v="56.643356643356647"/>
    <n v="43.7062937062937"/>
    <n v="66.783216783216787"/>
    <n v="100"/>
    <n v="20.979020979020977"/>
    <n v="47.552447552447553"/>
    <n v="26.573426573426573"/>
    <n v="20.979020979020977"/>
    <n v="8.741258741258747"/>
    <n v="45.1048951048951"/>
    <n v="83.216783216783213"/>
    <n v="5.2447552447552486"/>
    <n v="60.139860139860126"/>
    <n v="39.860139860139853"/>
    <n v="0"/>
    <n v="35.31468531468532"/>
    <n v="100"/>
    <n v="0"/>
    <n v="42.934149184149192"/>
    <n v="23.865476240201602"/>
    <n v="0.55586233088817028"/>
    <n v="0.61538461538461542"/>
    <n v="0.52097902097902116"/>
    <n v="0.3951048951048951"/>
    <n v="0.35314685314685323"/>
    <n v="0.70629370629370636"/>
    <n v="0.41258741258741261"/>
    <n v="0.35314685314685323"/>
    <n v="0.33916083916083922"/>
    <n v="0.56643356643356657"/>
    <n v="0.43706293706293703"/>
    <n v="0.66783216783216792"/>
    <n v="1"/>
    <n v="0.20979020979020979"/>
    <n v="0.47552447552447563"/>
    <n v="0.26573426573426578"/>
    <n v="0.20979020979020979"/>
    <n v="8.7412587412587478E-2"/>
    <n v="0.45104895104895104"/>
    <n v="0.83216783216783219"/>
    <n v="5.2447552447552497E-2"/>
    <n v="0.60139860139860135"/>
    <n v="0.39860139860139854"/>
    <n v="0"/>
    <n v="0.35314685314685323"/>
    <n v="1"/>
    <n v="12.307692307692307"/>
    <n v="10.419580419580422"/>
    <n v="7.9020979020979016"/>
    <n v="7.0629370629370642"/>
    <n v="14.125874125874127"/>
    <n v="8.2517482517482517"/>
    <n v="7.0629370629370642"/>
    <n v="6.7832167832167842"/>
    <n v="11.32867132867133"/>
    <n v="8.7412587412587399"/>
    <n v="13.356643356643358"/>
    <n v="20"/>
    <n v="4.1958041958041958"/>
    <n v="9.5104895104895117"/>
    <n v="5.314685314685315"/>
    <n v="4.1958041958041958"/>
    <n v="1.7482517482517494"/>
    <n v="9.0209790209790199"/>
    <n v="16.643356643356643"/>
    <n v="1.0489510489510498"/>
    <n v="12.027972027972027"/>
    <n v="7.9720279720279708"/>
    <n v="0"/>
    <n v="7.0629370629370642"/>
    <m/>
  </r>
  <r>
    <n v="2017"/>
    <x v="2"/>
    <n v="0.1"/>
    <n v="0.2"/>
    <s v="Apoya "/>
    <x v="15"/>
    <x v="15"/>
    <s v="http://www.ecuadorencifras.gob.ec/enemdu-2017/_x000a__x000a_Base de Datos (En formato SPSS)"/>
    <n v="2016"/>
    <s v="%"/>
    <n v="0.98740000000000006"/>
    <n v="0.97489999999999999"/>
    <n v="0.96909999999999996"/>
    <n v="0.96409999999999996"/>
    <n v="0.996"/>
    <n v="0.98780000000000001"/>
    <n v="0.97160000000000002"/>
    <n v="0.96679999999999999"/>
    <n v="0.98040000000000005"/>
    <n v="0.96"/>
    <n v="0.96879999999999999"/>
    <n v="0.98729999999999996"/>
    <n v="0.95789999999999997"/>
    <n v="0.98440000000000005"/>
    <n v="0.98429999999999995"/>
    <n v="0.98350000000000004"/>
    <n v="0.97899999999999998"/>
    <n v="0.98409999999999997"/>
    <n v="0.95669999999999999"/>
    <n v="0.95099999999999996"/>
    <n v="0.98299999999999998"/>
    <n v="0.96809999999999996"/>
    <n v="0.98919999999999997"/>
    <n v="0.99139999999999995"/>
    <n v="0.99139999999999995"/>
    <n v="0.97611666666666685"/>
    <n v="1.2399883122403839E-2"/>
    <n v="1.2703279788007414E-2"/>
    <e v="#REF!"/>
    <n v="0.996"/>
    <n v="0.95099999999999996"/>
    <n v="1.0473186119873819"/>
    <n v="0.996"/>
    <n v="80.888888888889028"/>
    <n v="53.111111111111128"/>
    <n v="40.2222222222222"/>
    <n v="29.111111111111086"/>
    <n v="100"/>
    <n v="81.777777777777828"/>
    <n v="45.777777777777878"/>
    <n v="35.111111111111157"/>
    <n v="65.333333333333471"/>
    <n v="20"/>
    <n v="39.555555555555607"/>
    <n v="80.6666666666666"/>
    <n v="15.333333333333357"/>
    <n v="74.222222222222371"/>
    <n v="73.999999999999915"/>
    <n v="72.222222222222342"/>
    <n v="62.222222222222221"/>
    <n v="73.555555555555529"/>
    <n v="12.666666666666741"/>
    <n v="0"/>
    <n v="71.111111111111114"/>
    <n v="37.999999999999972"/>
    <n v="84.888888888888829"/>
    <n v="89.777777777777672"/>
    <n v="100"/>
    <n v="0"/>
    <n v="55.814814814814838"/>
    <n v="27.555295827564059"/>
    <n v="0.49369143154892453"/>
    <n v="1.6177777777777806"/>
    <n v="1.0622222222222228"/>
    <n v="0.80444444444444407"/>
    <n v="0.58222222222222175"/>
    <n v="2"/>
    <n v="1.6355555555555565"/>
    <n v="0.91555555555555768"/>
    <n v="0.70222222222222319"/>
    <n v="1.3066666666666695"/>
    <n v="0.4"/>
    <n v="0.79111111111111221"/>
    <n v="1.6133333333333324"/>
    <n v="0.3066666666666672"/>
    <n v="1.4844444444444476"/>
    <n v="1.4799999999999984"/>
    <n v="1.4444444444444471"/>
    <n v="1.2444444444444445"/>
    <n v="1.4711111111111108"/>
    <n v="0.25333333333333485"/>
    <n v="0"/>
    <n v="1.4222222222222225"/>
    <n v="0.75999999999999945"/>
    <n v="1.6977777777777767"/>
    <n v="1.7955555555555536"/>
    <n v="2"/>
    <n v="16.177777777777806"/>
    <n v="10.622222222222227"/>
    <n v="8.0444444444444407"/>
    <n v="5.8222222222222175"/>
    <n v="20"/>
    <n v="16.355555555555565"/>
    <n v="9.1555555555555763"/>
    <n v="7.0222222222222319"/>
    <n v="13.066666666666695"/>
    <n v="4"/>
    <n v="7.9111111111111221"/>
    <n v="16.133333333333322"/>
    <n v="3.0666666666666718"/>
    <n v="14.844444444444475"/>
    <n v="14.799999999999983"/>
    <n v="14.44444444444447"/>
    <n v="12.444444444444445"/>
    <n v="14.711111111111107"/>
    <n v="2.5333333333333483"/>
    <n v="0"/>
    <n v="14.222222222222223"/>
    <n v="7.5999999999999943"/>
    <n v="16.977777777777767"/>
    <n v="17.955555555555534"/>
    <m/>
  </r>
  <r>
    <n v="2017"/>
    <x v="2"/>
    <n v="0.1"/>
    <n v="0.2"/>
    <s v="Apoya "/>
    <x v="16"/>
    <x v="16"/>
    <s v="http://www.ecuadorencifras.gob.ec/enemdu-2017/_x000a__x000a_Base de Datos (En formato SPSS)"/>
    <n v="2016"/>
    <s v="%"/>
    <n v="0.95889999999999997"/>
    <n v="0.96779999999999999"/>
    <n v="0.92430000000000001"/>
    <n v="0.92659999999999998"/>
    <n v="0.95660000000000001"/>
    <n v="0.94210000000000005"/>
    <n v="0.95609999999999995"/>
    <n v="0.87929999999999997"/>
    <n v="0.96830000000000005"/>
    <n v="0.93289999999999995"/>
    <n v="0.9375"/>
    <n v="0.92130000000000001"/>
    <n v="0.9546"/>
    <n v="0.96160000000000001"/>
    <n v="0.97389999999999999"/>
    <n v="0.93679999999999997"/>
    <n v="0.92930000000000001"/>
    <n v="0.93020000000000003"/>
    <n v="0.91349999999999998"/>
    <n v="0.90649999999999997"/>
    <n v="0.93710000000000004"/>
    <n v="0.93"/>
    <n v="0.9647"/>
    <n v="0.96040000000000003"/>
    <n v="0.96040000000000003"/>
    <n v="0.94042916666666676"/>
    <n v="2.2833470458701759E-2"/>
    <n v="2.4279840808887881E-2"/>
    <e v="#REF!"/>
    <n v="0.97389999999999999"/>
    <n v="0.87929999999999997"/>
    <n v="1.1075855794381895"/>
    <n v="0.97389999999999999"/>
    <n v="84.143763213530647"/>
    <n v="93.551797040169134"/>
    <n v="47.568710359408065"/>
    <n v="50"/>
    <n v="81.71247357293872"/>
    <n v="66.384778012685061"/>
    <n v="81.183932346723012"/>
    <n v="0"/>
    <n v="94.080338266384842"/>
    <n v="56.659619450317088"/>
    <n v="61.522198731501078"/>
    <n v="44.397463002114193"/>
    <n v="79.598308668076129"/>
    <n v="86.997885835095161"/>
    <n v="100"/>
    <n v="60.782241014799141"/>
    <n v="52.854122621564514"/>
    <n v="53.805496828752695"/>
    <n v="36.152219873150109"/>
    <n v="28.752642706131077"/>
    <n v="61.099365750528612"/>
    <n v="53.594080338266458"/>
    <n v="90.274841437632148"/>
    <n v="85.729386892177644"/>
    <n v="100"/>
    <n v="0"/>
    <n v="64.618569415081083"/>
    <n v="24.1368609500018"/>
    <n v="0.37352824688762903"/>
    <n v="1.6828752642706133"/>
    <n v="1.8710359408033828"/>
    <n v="0.95137420718816146"/>
    <n v="1"/>
    <n v="1.6342494714587745"/>
    <n v="1.3276955602537015"/>
    <n v="1.6236786469344606"/>
    <n v="0"/>
    <n v="1.8816067653276971"/>
    <n v="1.1331923890063418"/>
    <n v="1.2304439746300218"/>
    <n v="0.88794926004228403"/>
    <n v="1.5919661733615227"/>
    <n v="1.7399577167019034"/>
    <n v="2"/>
    <n v="1.2156448202959831"/>
    <n v="1.0570824524312905"/>
    <n v="1.0761099365750539"/>
    <n v="0.72304439746300231"/>
    <n v="0.57505285412262164"/>
    <n v="1.2219873150105725"/>
    <n v="1.0718816067653294"/>
    <n v="1.8054968287526432"/>
    <n v="1.714587737843553"/>
    <n v="2"/>
    <n v="16.828752642706132"/>
    <n v="18.710359408033828"/>
    <n v="9.5137420718816141"/>
    <n v="10"/>
    <n v="16.342494714587744"/>
    <n v="13.276955602537013"/>
    <n v="16.236786469344604"/>
    <n v="0"/>
    <n v="18.816067653276971"/>
    <n v="11.331923890063418"/>
    <n v="12.304439746300217"/>
    <n v="8.8794926004228394"/>
    <n v="15.919661733615227"/>
    <n v="17.399577167019032"/>
    <n v="20"/>
    <n v="12.15644820295983"/>
    <n v="10.570824524312904"/>
    <n v="10.761099365750539"/>
    <n v="7.2304439746300222"/>
    <n v="5.7505285412262159"/>
    <n v="12.219873150105723"/>
    <n v="10.718816067653293"/>
    <n v="18.054968287526432"/>
    <n v="17.145877378435529"/>
    <m/>
  </r>
  <r>
    <n v="2017"/>
    <x v="2"/>
    <n v="0.1"/>
    <n v="0.2"/>
    <s v="Destruye"/>
    <x v="17"/>
    <x v="17"/>
    <s v="http://www.ecuadorencifras.gob.ec/enemdu-2017/_x000a__x000a_Base de Datos (En formato SPSS)"/>
    <n v="2016"/>
    <s v="%"/>
    <n v="0.1918"/>
    <n v="0.221"/>
    <n v="0.1996"/>
    <n v="0.21709999999999999"/>
    <n v="0.1396"/>
    <n v="0.17380000000000001"/>
    <n v="0.18210000000000001"/>
    <n v="0.1797"/>
    <n v="9.4399999999999998E-2"/>
    <n v="0.35720000000000002"/>
    <n v="0.2233"/>
    <n v="0.28270000000000001"/>
    <n v="0.30590000000000001"/>
    <n v="0.32750000000000001"/>
    <n v="0.17760000000000001"/>
    <n v="0.27339999999999998"/>
    <n v="0.1593"/>
    <n v="0.18060000000000001"/>
    <n v="0.1232"/>
    <n v="0.11840000000000001"/>
    <n v="0.25679999999999997"/>
    <n v="0.23430000000000001"/>
    <n v="0.32840000000000003"/>
    <n v="0.19620000000000001"/>
    <n v="0.19620000000000001"/>
    <n v="0.21432916666666671"/>
    <n v="7.0105277846136765E-2"/>
    <n v="0.32709163636681937"/>
    <e v="#REF!"/>
    <n v="0.35720000000000002"/>
    <n v="9.4399999999999998E-2"/>
    <n v="3.7838983050847461"/>
    <n v="9.4399999999999998E-2"/>
    <n v="62.937595129375957"/>
    <n v="51.82648401826485"/>
    <n v="59.969558599695588"/>
    <n v="53.310502283105031"/>
    <n v="82.800608828006091"/>
    <n v="69.786910197869105"/>
    <n v="66.628614916286153"/>
    <n v="67.541856925418585"/>
    <n v="100"/>
    <n v="0"/>
    <n v="50.951293759512936"/>
    <n v="28.348554033485541"/>
    <n v="19.520547945205479"/>
    <n v="11.301369863013704"/>
    <n v="68.340943683409435"/>
    <n v="31.887366818873673"/>
    <n v="75.304414003044144"/>
    <n v="67.199391171993909"/>
    <n v="89.041095890410958"/>
    <n v="90.867579908675793"/>
    <n v="38.20395738203959"/>
    <n v="46.765601217656005"/>
    <n v="10.958904109589042"/>
    <n v="61.263318112633179"/>
    <n v="100"/>
    <n v="0"/>
    <n v="54.364852866565208"/>
    <n v="26.676285329580239"/>
    <n v="0.49068992047224602"/>
    <n v="1.2587519025875193"/>
    <n v="1.036529680365297"/>
    <n v="1.1993911719939119"/>
    <n v="1.0662100456621006"/>
    <n v="1.6560121765601221"/>
    <n v="1.3957382039573822"/>
    <n v="1.3325722983257231"/>
    <n v="1.3508371385083719"/>
    <n v="2"/>
    <n v="0"/>
    <n v="1.0190258751902588"/>
    <n v="0.56697108066971091"/>
    <n v="0.3904109589041096"/>
    <n v="0.2260273972602741"/>
    <n v="1.3668188736681888"/>
    <n v="0.63774733637747349"/>
    <n v="1.506088280060883"/>
    <n v="1.3439878234398783"/>
    <n v="1.7808219178082194"/>
    <n v="1.8173515981735162"/>
    <n v="0.76407914764079188"/>
    <n v="0.93531202435312011"/>
    <n v="0.21917808219178087"/>
    <n v="1.2252663622526638"/>
    <n v="2"/>
    <n v="12.587519025875192"/>
    <n v="10.365296803652971"/>
    <n v="11.993911719939119"/>
    <n v="10.662100456621006"/>
    <n v="16.56012176560122"/>
    <n v="13.957382039573822"/>
    <n v="13.325722983257231"/>
    <n v="13.508371385083718"/>
    <n v="20"/>
    <n v="0"/>
    <n v="10.190258751902588"/>
    <n v="5.6697108066971085"/>
    <n v="3.904109589041096"/>
    <n v="2.2602739726027408"/>
    <n v="13.668188736681888"/>
    <n v="6.3774733637747349"/>
    <n v="15.06088280060883"/>
    <n v="13.439878234398783"/>
    <n v="17.808219178082194"/>
    <n v="18.173515981735161"/>
    <n v="7.6407914764079186"/>
    <n v="9.3531202435312011"/>
    <n v="2.1917808219178085"/>
    <n v="12.252663622526637"/>
    <m/>
  </r>
  <r>
    <n v="2017"/>
    <x v="2"/>
    <n v="0.1"/>
    <n v="0.2"/>
    <s v="Destruye"/>
    <x v="18"/>
    <x v="18"/>
    <s v="http://www.ecuadorencifras.gob.ec/enemdu-2017/_x000a__x000a_Base de Datos (En formato SPSS)"/>
    <n v="2016"/>
    <s v="%"/>
    <n v="0.1200852721578182"/>
    <n v="0.1298"/>
    <n v="0.14510000000000001"/>
    <n v="0.15409999999999999"/>
    <n v="0.17730000000000001"/>
    <n v="0.17449999999999999"/>
    <n v="0.18340000000000001"/>
    <n v="0.1767"/>
    <n v="7.7799999999999994E-2"/>
    <n v="0.21560000000000001"/>
    <n v="0.19869999999999999"/>
    <n v="0.2334"/>
    <n v="0.24779999999999999"/>
    <n v="0.21110000000000001"/>
    <n v="0.2051"/>
    <n v="0.2286"/>
    <n v="0.19670000000000001"/>
    <n v="0.13350000000000001"/>
    <n v="0.13350000000000001"/>
    <n v="0.187"/>
    <n v="0.18440000000000001"/>
    <n v="0.14119999999999999"/>
    <n v="0.26729999999999998"/>
    <n v="0.16919999999999999"/>
    <n v="0.16919999999999999"/>
    <n v="0.17882855300657577"/>
    <n v="4.4433770793317645E-2"/>
    <n v="0.24847134334126025"/>
    <e v="#REF!"/>
    <n v="0.26729999999999998"/>
    <n v="7.7799999999999994E-2"/>
    <n v="3.4357326478149099"/>
    <n v="7.7799999999999994E-2"/>
    <n v="77.685872212233136"/>
    <n v="72.559366754617415"/>
    <n v="64.485488126649074"/>
    <n v="59.736147757255942"/>
    <n v="47.493403693931391"/>
    <n v="48.970976253298161"/>
    <n v="44.274406332453822"/>
    <n v="47.810026385224269"/>
    <n v="100"/>
    <n v="27.282321899736132"/>
    <n v="36.200527704485495"/>
    <n v="17.889182058047481"/>
    <n v="10.290237467018486"/>
    <n v="29.656992084432702"/>
    <n v="32.823218997361465"/>
    <n v="20.422163588390504"/>
    <n v="37.255936675461733"/>
    <n v="70.606860158311349"/>
    <n v="70.606860158311349"/>
    <n v="42.374670184696569"/>
    <n v="43.746701846965699"/>
    <n v="66.543535620052779"/>
    <n v="0"/>
    <n v="51.767810026385227"/>
    <n v="100"/>
    <n v="0"/>
    <n v="46.686779416055003"/>
    <n v="23.447900154785049"/>
    <n v="0.50223854478858332"/>
    <n v="1.5537174442446628"/>
    <n v="1.4511873350923485"/>
    <n v="1.2897097625329816"/>
    <n v="1.1947229551451188"/>
    <n v="0.94986807387862793"/>
    <n v="0.97941952506596341"/>
    <n v="0.8854881266490765"/>
    <n v="0.95620052770448538"/>
    <n v="2"/>
    <n v="0.54564643799472268"/>
    <n v="0.72401055408970993"/>
    <n v="0.35778364116094963"/>
    <n v="0.20580474934036974"/>
    <n v="0.59313984168865408"/>
    <n v="0.65646437994722939"/>
    <n v="0.40844327176781009"/>
    <n v="0.74511873350923474"/>
    <n v="1.4121372031662272"/>
    <n v="1.4121372031662272"/>
    <n v="0.84749340369393156"/>
    <n v="0.87493403693931404"/>
    <n v="1.3308707124010557"/>
    <n v="0"/>
    <n v="1.0353562005277046"/>
    <n v="2"/>
    <n v="15.537174442446627"/>
    <n v="14.511873350923484"/>
    <n v="12.897097625329815"/>
    <n v="11.947229551451189"/>
    <n v="9.4986807387862786"/>
    <n v="9.7941952506596337"/>
    <n v="8.8548812664907643"/>
    <n v="9.5620052770448538"/>
    <n v="20"/>
    <n v="5.456464379947227"/>
    <n v="7.2401055408970993"/>
    <n v="3.5778364116094963"/>
    <n v="2.0580474934036972"/>
    <n v="5.931398416886541"/>
    <n v="6.564643799472293"/>
    <n v="4.0844327176781006"/>
    <n v="7.4511873350923468"/>
    <n v="14.12137203166227"/>
    <n v="14.12137203166227"/>
    <n v="8.4749340369393149"/>
    <n v="8.7493403693931402"/>
    <n v="13.308707124010557"/>
    <n v="0"/>
    <n v="10.353562005277047"/>
    <m/>
  </r>
  <r>
    <n v="2017"/>
    <x v="3"/>
    <n v="0.1"/>
    <n v="0.25"/>
    <s v="Apoya "/>
    <x v="19"/>
    <x v="19"/>
    <m/>
    <n v="2017"/>
    <s v="Tasa x 1.000.000 hab."/>
    <n v="4979.45"/>
    <n v="811.37"/>
    <n v="1816.29"/>
    <n v="1537.77"/>
    <n v="1548.25"/>
    <n v="2035.65"/>
    <n v="3972.3"/>
    <n v="1057.8699999999999"/>
    <n v="13692.09"/>
    <n v="4567.57"/>
    <n v="2026.4"/>
    <n v="2345.39"/>
    <n v="1271.02"/>
    <n v="2433.9699999999998"/>
    <n v="1865.621197782885"/>
    <n v="1812.97"/>
    <n v="2690.69"/>
    <n v="2156.48"/>
    <n v="9502.44"/>
    <n v="3173.31"/>
    <n v="2770.6"/>
    <n v="4300.91"/>
    <n v="2112.13"/>
    <n v="2326"/>
    <n v="2770.6"/>
    <n v="3200.2725499076209"/>
    <n v="2868.9220104104511"/>
    <n v="0.89646177494890722"/>
    <e v="#REF!"/>
    <n v="13692.09"/>
    <n v="811.37"/>
    <n v="16.87527268693691"/>
    <n v="13692.09"/>
    <n v="32.359060673626942"/>
    <n v="0"/>
    <n v="7.8017377910551593"/>
    <n v="5.6394363048028371"/>
    <n v="5.7207982162487809"/>
    <n v="9.5047481817786608"/>
    <n v="24.540010185766018"/>
    <n v="1.913712898036755"/>
    <n v="100"/>
    <n v="29.161413337142644"/>
    <n v="9.4329354259699798"/>
    <n v="11.909427423311742"/>
    <n v="3.568511698103833"/>
    <n v="12.59712190001801"/>
    <n v="8.1847225759343036"/>
    <n v="7.7759628343757186"/>
    <n v="14.590178188796902"/>
    <n v="10.442816861169254"/>
    <n v="67.473479743368387"/>
    <n v="18.337018427541317"/>
    <n v="15.210562763572225"/>
    <n v="27.091187449148808"/>
    <n v="10.098503810346008"/>
    <n v="11.758892360054409"/>
    <n v="100"/>
    <n v="0"/>
    <n v="18.54634329375703"/>
    <n v="22.272994137054848"/>
    <n v="1.2009372297423322"/>
    <n v="0.80897651684067362"/>
    <n v="0"/>
    <n v="0.195043444776379"/>
    <n v="0.14098590762007093"/>
    <n v="0.14301995540621953"/>
    <n v="0.23761870454446654"/>
    <n v="0.61350025464415048"/>
    <n v="4.7842822450918879E-2"/>
    <n v="2.5"/>
    <n v="0.72903533342856619"/>
    <n v="0.23582338564924951"/>
    <n v="0.29773568558279356"/>
    <n v="8.9212792452595835E-2"/>
    <n v="0.31492804750045028"/>
    <n v="0.20461806439835761"/>
    <n v="0.19439907085939298"/>
    <n v="0.36475445471992257"/>
    <n v="0.26107042152923138"/>
    <n v="1.6868369935842098"/>
    <n v="0.45842546068853296"/>
    <n v="0.38026406908930566"/>
    <n v="0.67727968622872026"/>
    <n v="0.25246259525865022"/>
    <n v="0.29397230900136023"/>
    <n v="2.5"/>
    <n v="8.0897651684067355"/>
    <n v="0"/>
    <n v="1.9504344477637898"/>
    <n v="1.4098590762007093"/>
    <n v="1.4301995540621952"/>
    <n v="2.3761870454446652"/>
    <n v="6.1350025464415046"/>
    <n v="0.47842822450918876"/>
    <n v="25"/>
    <n v="7.290353334285661"/>
    <n v="2.358233856492495"/>
    <n v="2.9773568558279355"/>
    <n v="0.89212792452595824"/>
    <n v="3.1492804750045025"/>
    <n v="2.0461806439835759"/>
    <n v="1.9439907085939296"/>
    <n v="3.6475445471992254"/>
    <n v="2.6107042152923134"/>
    <n v="16.868369935842097"/>
    <n v="4.5842546068853292"/>
    <n v="3.8026406908930563"/>
    <n v="6.7727968622872021"/>
    <n v="2.524625952586502"/>
    <n v="2.9397230900136022"/>
    <m/>
  </r>
  <r>
    <n v="2017"/>
    <x v="3"/>
    <n v="0.1"/>
    <n v="0.25"/>
    <s v="Apoya "/>
    <x v="20"/>
    <x v="20"/>
    <s v="Base de Datos (En formato SPSS)"/>
    <n v="2015"/>
    <s v="%"/>
    <n v="8.8999999999999996E-2"/>
    <n v="3.1600000000000003E-2"/>
    <n v="4.53E-2"/>
    <n v="5.8500000000000003E-2"/>
    <n v="5.5599999999999997E-2"/>
    <n v="6.54E-2"/>
    <n v="9.7900000000000001E-2"/>
    <n v="7.3700000000000002E-2"/>
    <n v="0.1017"/>
    <n v="0.1191"/>
    <n v="6.4000000000000001E-2"/>
    <n v="6.4600000000000005E-2"/>
    <n v="6.9900000000000004E-2"/>
    <n v="5.8700000000000002E-2"/>
    <n v="5.62E-2"/>
    <n v="4.5400000000000003E-2"/>
    <n v="9.2499999999999999E-2"/>
    <n v="5.3100000000000001E-2"/>
    <n v="0.1182"/>
    <n v="7.8200000000000006E-2"/>
    <n v="7.3999999999999996E-2"/>
    <n v="4.4499999999999998E-2"/>
    <n v="6.1699999999999998E-2"/>
    <n v="0.09"/>
    <n v="7.3999999999999996E-2"/>
    <n v="7.1200000000000013E-2"/>
    <n v="2.3111826447494967E-2"/>
    <n v="0.32460430403785062"/>
    <e v="#REF!"/>
    <n v="0.1191"/>
    <n v="3.1600000000000003E-2"/>
    <n v="3.7689873417721516"/>
    <n v="0.1191"/>
    <n v="65.599999999999994"/>
    <n v="0"/>
    <n v="15.657142857142855"/>
    <n v="30.742857142857144"/>
    <n v="27.428571428571423"/>
    <n v="38.628571428571426"/>
    <n v="75.771428571428572"/>
    <n v="48.114285714285714"/>
    <n v="80.114285714285714"/>
    <n v="100"/>
    <n v="37.028571428571425"/>
    <n v="37.714285714285715"/>
    <n v="43.771428571428579"/>
    <n v="30.971428571428572"/>
    <n v="28.114285714285714"/>
    <n v="15.771428571428572"/>
    <n v="69.599999999999994"/>
    <n v="24.571428571428573"/>
    <n v="98.971428571428575"/>
    <n v="53.25714285714286"/>
    <n v="48.457142857142856"/>
    <n v="14.742857142857138"/>
    <n v="34.4"/>
    <n v="66.742857142857133"/>
    <n v="100"/>
    <n v="0"/>
    <n v="45.257142857142846"/>
    <n v="26.413515939994326"/>
    <n v="0.58363198099734948"/>
    <n v="1.64"/>
    <n v="0"/>
    <n v="0.3914285714285714"/>
    <n v="0.76857142857142868"/>
    <n v="0.68571428571428561"/>
    <n v="0.96571428571428575"/>
    <n v="1.8942857142857144"/>
    <n v="1.2028571428571428"/>
    <n v="2.0028571428571431"/>
    <n v="2.5"/>
    <n v="0.92571428571428571"/>
    <n v="0.94285714285714295"/>
    <n v="1.0942857142857145"/>
    <n v="0.77428571428571435"/>
    <n v="0.70285714285714285"/>
    <n v="0.39428571428571435"/>
    <n v="1.74"/>
    <n v="0.61428571428571432"/>
    <n v="2.4742857142857146"/>
    <n v="1.3314285714285716"/>
    <n v="1.2114285714285715"/>
    <n v="0.36857142857142849"/>
    <n v="0.86"/>
    <n v="1.6685714285714284"/>
    <n v="2.5"/>
    <n v="16.399999999999999"/>
    <n v="0"/>
    <n v="3.9142857142857137"/>
    <n v="7.6857142857142859"/>
    <n v="6.8571428571428559"/>
    <n v="9.6571428571428566"/>
    <n v="18.942857142857143"/>
    <n v="12.028571428571428"/>
    <n v="20.028571428571428"/>
    <n v="25"/>
    <n v="9.2571428571428562"/>
    <n v="9.4285714285714288"/>
    <n v="10.942857142857145"/>
    <n v="7.7428571428571429"/>
    <n v="7.0285714285714285"/>
    <n v="3.9428571428571431"/>
    <n v="17.399999999999999"/>
    <n v="6.1428571428571432"/>
    <n v="24.742857142857144"/>
    <n v="13.314285714285715"/>
    <n v="12.114285714285714"/>
    <n v="3.6857142857142846"/>
    <n v="8.6"/>
    <n v="16.685714285714283"/>
    <m/>
  </r>
  <r>
    <n v="2017"/>
    <x v="3"/>
    <n v="0.1"/>
    <n v="0.25"/>
    <s v="Apoya "/>
    <x v="21"/>
    <x v="21"/>
    <s v="Superintendencia de Compañías: Departamento de Estudios Societarios"/>
    <n v="2014"/>
    <s v="%"/>
    <n v="4.3999999999999997E-2"/>
    <n v="3.984366345564931E-5"/>
    <n v="3.8999999999999998E-3"/>
    <n v="4.0000000000000002E-4"/>
    <n v="1.5E-3"/>
    <n v="6.7999999999999996E-3"/>
    <n v="1.4E-2"/>
    <n v="2.8E-3"/>
    <n v="2.5000000000000001E-3"/>
    <n v="0.40889999999999999"/>
    <n v="4.1999999999999997E-3"/>
    <n v="3.2000000000000002E-3"/>
    <n v="5.1000000000000004E-3"/>
    <n v="3.4099999999999998E-2"/>
    <n v="2.9999999999999997E-4"/>
    <n v="2.9999999999999997E-4"/>
    <n v="8.9999999999999998E-4"/>
    <n v="2.9999999999999997E-4"/>
    <n v="0.43830000000000002"/>
    <n v="1.1000000000000001E-3"/>
    <n v="1.34E-2"/>
    <n v="7.1999999999999998E-3"/>
    <n v="2.3999999999999998E-3"/>
    <n v="4.4000000000000003E-3"/>
    <n v="1.34E-2"/>
    <n v="4.1668326819310646E-2"/>
    <n v="0.11819688338225749"/>
    <n v="2.8366121801531201"/>
    <e v="#REF!"/>
    <n v="0.43830000000000002"/>
    <n v="3.984366345564931E-5"/>
    <n v="11000.494482337939"/>
    <n v="0.43830000000000002"/>
    <n v="10.030607551462403"/>
    <n v="0"/>
    <n v="0.88079107368822696"/>
    <n v="8.2178662909932212E-2"/>
    <n v="0.33317113486882483"/>
    <n v="1.5424984997616709"/>
    <n v="3.1853583162198773"/>
    <n v="0.62979860172933422"/>
    <n v="0.56134610937690899"/>
    <n v="93.291655749462322"/>
    <n v="0.94924356604065196"/>
    <n v="0.72106859153256797"/>
    <n v="1.1546010430979281"/>
    <n v="7.7716753038323692"/>
    <n v="5.9361165459123781E-2"/>
    <n v="5.9361165459123781E-2"/>
    <n v="0.19626615016397428"/>
    <n v="5.9361165459123781E-2"/>
    <n v="100"/>
    <n v="0.24190114506559116"/>
    <n v="3.0484533315150268"/>
    <n v="1.6337684895649045"/>
    <n v="0.53852861192610046"/>
    <n v="0.99487856094226912"/>
    <n v="100"/>
    <n v="0"/>
    <n v="9.4985780828974278"/>
    <n v="26.969570852681596"/>
    <n v="2.8393271726892886"/>
    <n v="0.25076518878656007"/>
    <n v="0"/>
    <n v="2.2019776842205675E-2"/>
    <n v="2.0544665727483054E-3"/>
    <n v="8.3292783717206203E-3"/>
    <n v="3.8562462494041772E-2"/>
    <n v="7.9633957905496933E-2"/>
    <n v="1.5744965043233358E-2"/>
    <n v="1.4033652734422725E-2"/>
    <n v="2.3322913937365581"/>
    <n v="2.3731089151016301E-2"/>
    <n v="1.8026714788314201E-2"/>
    <n v="2.8865026077448203E-2"/>
    <n v="0.19429188259580923"/>
    <n v="1.4840291364780947E-3"/>
    <n v="1.4840291364780947E-3"/>
    <n v="4.9066537540993571E-3"/>
    <n v="1.4840291364780947E-3"/>
    <n v="2.5"/>
    <n v="6.0475286266397791E-3"/>
    <n v="7.6211333287875674E-2"/>
    <n v="4.0844212239122615E-2"/>
    <n v="1.3463215298152512E-2"/>
    <n v="2.4871964023556729E-2"/>
    <n v="2.5"/>
    <n v="2.5076518878656007"/>
    <n v="0"/>
    <n v="0.22019776842205674"/>
    <n v="2.0544665727483053E-2"/>
    <n v="8.3292783717206206E-2"/>
    <n v="0.38562462494041772"/>
    <n v="0.79633957905496933"/>
    <n v="0.15744965043233355"/>
    <n v="0.14033652734422725"/>
    <n v="23.32291393736558"/>
    <n v="0.23731089151016299"/>
    <n v="0.18026714788314199"/>
    <n v="0.28865026077448203"/>
    <n v="1.9429188259580923"/>
    <n v="1.4840291364780945E-2"/>
    <n v="1.4840291364780945E-2"/>
    <n v="4.906653754099357E-2"/>
    <n v="1.4840291364780945E-2"/>
    <n v="25"/>
    <n v="6.0475286266397789E-2"/>
    <n v="0.76211333287875671"/>
    <n v="0.40844212239122613"/>
    <n v="0.13463215298152512"/>
    <n v="0.24871964023556728"/>
    <m/>
  </r>
  <r>
    <n v="2017"/>
    <x v="3"/>
    <n v="0.1"/>
    <n v="0.25"/>
    <s v="Apoya "/>
    <x v="22"/>
    <x v="22"/>
    <s v="Superintendencia de Compañías: Departamento de Estudios Societarios"/>
    <n v="2017"/>
    <s v="%"/>
    <n v="0.11269999999999999"/>
    <n v="3.5999999999999997E-2"/>
    <n v="5.7599999999999998E-2"/>
    <n v="4.8399999999999999E-2"/>
    <n v="8.1100000000000005E-2"/>
    <n v="6.7799999999999999E-2"/>
    <n v="4.5199999999999997E-2"/>
    <n v="6.5299999999999997E-2"/>
    <n v="1.7399999999999999E-2"/>
    <n v="7.2499999999999995E-2"/>
    <n v="8.4900000000000003E-2"/>
    <n v="6.7100000000000007E-2"/>
    <n v="5.6800000000000003E-2"/>
    <n v="7.5499999999999998E-2"/>
    <n v="3.44E-2"/>
    <n v="2.2499999999999999E-2"/>
    <n v="5.1200000000000002E-2"/>
    <n v="4.2000000000000003E-2"/>
    <n v="8.9399999999999993E-2"/>
    <n v="7.6899999999999996E-2"/>
    <n v="0.15129999999999999"/>
    <n v="5.1999999999999998E-3"/>
    <n v="7.3099999999999998E-2"/>
    <n v="6.88E-2"/>
    <n v="0.15129999999999999"/>
    <n v="6.2629166666666666E-2"/>
    <n v="3.1049476354425981E-2"/>
    <n v="0.49576703646212733"/>
    <e v="#REF!"/>
    <n v="0.15129999999999999"/>
    <n v="5.1999999999999998E-3"/>
    <n v="29.096153846153847"/>
    <n v="0.15129999999999999"/>
    <n v="73.579739904175227"/>
    <n v="21.081451060917182"/>
    <n v="35.865845311430533"/>
    <n v="29.568788501026699"/>
    <n v="51.950718685831632"/>
    <n v="42.847364818617393"/>
    <n v="27.378507871321013"/>
    <n v="41.136208076659827"/>
    <n v="8.35044490075291"/>
    <n v="46.064339493497606"/>
    <n v="54.551676933607126"/>
    <n v="42.368240930869284"/>
    <n v="35.318275154004112"/>
    <n v="48.117727583846687"/>
    <n v="19.986310746064344"/>
    <n v="11.84120465434634"/>
    <n v="31.485284052019168"/>
    <n v="25.188227241615337"/>
    <n v="57.631759069130737"/>
    <n v="49.07597535934292"/>
    <n v="100"/>
    <n v="0"/>
    <n v="46.475017111567432"/>
    <n v="43.531827515400416"/>
    <n v="100"/>
    <n v="0"/>
    <n v="39.3081222906685"/>
    <n v="21.252208319251189"/>
    <n v="0.54065691976073682"/>
    <n v="1.8394934976043809"/>
    <n v="0.52703627652292961"/>
    <n v="0.89664613278576333"/>
    <n v="0.73921971252566754"/>
    <n v="1.2987679671457908"/>
    <n v="1.0711841204654349"/>
    <n v="0.6844626967830254"/>
    <n v="1.0284052019164958"/>
    <n v="0.20876112251882276"/>
    <n v="1.1516084873374401"/>
    <n v="1.3637919233401783"/>
    <n v="1.0592060232717322"/>
    <n v="0.88295687885010288"/>
    <n v="1.2029431895961673"/>
    <n v="0.4996577686516086"/>
    <n v="0.2960301163586585"/>
    <n v="0.78713210130047928"/>
    <n v="0.62970568104038349"/>
    <n v="1.4407939767282685"/>
    <n v="1.2268993839835731"/>
    <n v="2.5"/>
    <n v="0"/>
    <n v="1.1618754277891858"/>
    <n v="1.0882956878850105"/>
    <n v="2.5"/>
    <n v="18.394934976043807"/>
    <n v="5.2703627652292955"/>
    <n v="8.9664613278576333"/>
    <n v="7.3921971252566747"/>
    <n v="12.987679671457908"/>
    <n v="10.711841204654348"/>
    <n v="6.8446269678302532"/>
    <n v="10.284052019164957"/>
    <n v="2.0876112251882275"/>
    <n v="11.516084873374401"/>
    <n v="13.637919233401782"/>
    <n v="10.592060232717321"/>
    <n v="8.8295687885010281"/>
    <n v="12.029431895961672"/>
    <n v="4.996577686516086"/>
    <n v="2.960301163586585"/>
    <n v="7.8713210130047919"/>
    <n v="6.2970568104038342"/>
    <n v="14.407939767282684"/>
    <n v="12.26899383983573"/>
    <n v="25"/>
    <n v="0"/>
    <n v="11.618754277891858"/>
    <n v="10.882956878850104"/>
    <m/>
  </r>
  <r>
    <n v="2017"/>
    <x v="4"/>
    <n v="0.05"/>
    <n v="0.2"/>
    <s v="Apoya "/>
    <x v="23"/>
    <x v="23"/>
    <s v="STADÍSTICAS DE LOS GOBIERNOS"/>
    <n v="2013"/>
    <s v="%"/>
    <n v="0.21049999999999999"/>
    <n v="0.1069"/>
    <n v="0.24990000000000001"/>
    <n v="0.22040000000000001"/>
    <n v="0.20180000000000001"/>
    <n v="0.19040000000000001"/>
    <n v="0.25779999999999997"/>
    <n v="0.16650000000000001"/>
    <n v="0.25130000000000002"/>
    <n v="0.36699999999999999"/>
    <n v="0.31740000000000002"/>
    <n v="0.22700000000000001"/>
    <n v="0.12909999999999999"/>
    <n v="0.1953"/>
    <n v="8.9599999999999999E-2"/>
    <n v="7.8200000000000006E-2"/>
    <n v="0.14499999999999999"/>
    <n v="0.14630000000000001"/>
    <n v="0.40570000000000001"/>
    <n v="0.10639999999999999"/>
    <n v="0.28110000000000002"/>
    <n v="0.11"/>
    <n v="0.28489999999999999"/>
    <n v="0.26329999999999998"/>
    <n v="0.28110000000000002"/>
    <n v="0.20840833333333339"/>
    <n v="8.710930623006953E-2"/>
    <n v="0.4179741991926243"/>
    <e v="#REF!"/>
    <n v="0.40570000000000001"/>
    <n v="7.8200000000000006E-2"/>
    <n v="5.187979539641943"/>
    <n v="0.40570000000000001"/>
    <n v="40.396946564885489"/>
    <n v="8.7633587786259497"/>
    <n v="52.427480916030532"/>
    <n v="43.419847328244273"/>
    <n v="37.740458015267173"/>
    <n v="34.259541984732827"/>
    <n v="54.839694656488547"/>
    <n v="26.961832061068701"/>
    <n v="52.854961832061079"/>
    <n v="88.18320610687023"/>
    <n v="73.038167938931295"/>
    <n v="45.435114503816784"/>
    <n v="15.541984732824424"/>
    <n v="35.755725190839691"/>
    <n v="3.4809160305343494"/>
    <n v="0"/>
    <n v="20.396946564885489"/>
    <n v="20.793893129770993"/>
    <n v="100"/>
    <n v="8.610687022900759"/>
    <n v="61.954198473282453"/>
    <n v="9.7099236641221367"/>
    <n v="63.114503816793885"/>
    <n v="56.519083969465647"/>
    <n v="100"/>
    <n v="0"/>
    <n v="39.758269720101772"/>
    <n v="26.598261444296103"/>
    <n v="0.66899947184693576"/>
    <n v="0.40396946564885489"/>
    <n v="8.7633587786259515E-2"/>
    <n v="0.52427480916030544"/>
    <n v="0.43419847328244282"/>
    <n v="0.37740458015267175"/>
    <n v="0.34259541984732833"/>
    <n v="0.54839694656488547"/>
    <n v="0.26961832061068702"/>
    <n v="0.52854961832061087"/>
    <n v="0.88183206106870227"/>
    <n v="0.73038167938931309"/>
    <n v="0.45435114503816787"/>
    <n v="0.15541984732824426"/>
    <n v="0.35755725190839693"/>
    <n v="3.4809160305343499E-2"/>
    <n v="0"/>
    <n v="0.20396946564885493"/>
    <n v="0.20793893129770993"/>
    <n v="1"/>
    <n v="8.6106870229007593E-2"/>
    <n v="0.61954198473282462"/>
    <n v="9.7099236641221387E-2"/>
    <n v="0.63114503816793899"/>
    <n v="0.56519083969465655"/>
    <n v="1"/>
    <n v="8.0793893129770975"/>
    <n v="1.7526717557251901"/>
    <n v="10.485496183206108"/>
    <n v="8.6839694656488557"/>
    <n v="7.5480916030534351"/>
    <n v="6.8519083969465662"/>
    <n v="10.967938931297709"/>
    <n v="5.3923664122137405"/>
    <n v="10.570992366412217"/>
    <n v="17.636641221374045"/>
    <n v="14.60763358778626"/>
    <n v="9.0870229007633565"/>
    <n v="3.1083969465648851"/>
    <n v="7.1511450381679387"/>
    <n v="0.6961832061068699"/>
    <n v="0"/>
    <n v="4.0793893129770984"/>
    <n v="4.1587786259541986"/>
    <n v="20"/>
    <n v="1.7221374045801519"/>
    <n v="12.390839694656492"/>
    <n v="1.9419847328244275"/>
    <n v="12.622900763358778"/>
    <n v="11.30381679389313"/>
    <m/>
  </r>
  <r>
    <n v="2017"/>
    <x v="4"/>
    <n v="0.05"/>
    <n v="0.2"/>
    <s v="Destruye"/>
    <x v="24"/>
    <x v="24"/>
    <s v="EVALUACION BÁSICA MUNICIPAL‎ - BANCO DEL ESTADO"/>
    <n v="2017"/>
    <s v="%"/>
    <n v="0.23350000000000001"/>
    <n v="0.17499999999999999"/>
    <n v="0.36730000000000002"/>
    <n v="0.15759999999999999"/>
    <n v="0.18920000000000001"/>
    <n v="0.22259999999999999"/>
    <n v="0.29149999999999998"/>
    <n v="0.27250000000000002"/>
    <n v="0.43130000000000002"/>
    <n v="0.32169999999999999"/>
    <n v="0.1517"/>
    <n v="0.29959999999999998"/>
    <n v="0.40749999999999997"/>
    <n v="0.2165"/>
    <n v="0.1021"/>
    <n v="7.6100000000000001E-2"/>
    <n v="8.5300000000000001E-2"/>
    <n v="0.1085"/>
    <n v="0.42849999999999999"/>
    <n v="8.1299999999999997E-2"/>
    <n v="0.14449999999999999"/>
    <n v="0.22220000000000001"/>
    <n v="0.52470000000000006"/>
    <n v="0.25990000000000002"/>
    <n v="0.14449999999999999"/>
    <n v="0.24044166666666658"/>
    <n v="0.1243743889359398"/>
    <n v="0.51727469144673976"/>
    <e v="#REF!"/>
    <n v="0.52470000000000006"/>
    <n v="7.6100000000000001E-2"/>
    <n v="6.8948751642575568"/>
    <n v="7.6100000000000001E-2"/>
    <n v="64.913062862238064"/>
    <n v="0.15253644778232456"/>
    <n v="99.668372750951363"/>
    <n v="5.0881873737722572E-3"/>
    <n v="99.815266160018254"/>
    <n v="0.21792548319655225"/>
    <n v="99.926128030825453"/>
    <n v="5.4734229891835184E-2"/>
    <n v="99.622949319342894"/>
    <n v="0.26812348686610221"/>
    <n v="100.11717949872148"/>
    <n v="3.1524096862924011E-2"/>
    <n v="99.624345864921921"/>
    <n v="0.1857321640789138"/>
    <n v="100.08410431417569"/>
    <n v="-0.10974369423577457"/>
    <n v="99.805333662582356"/>
    <n v="0.21842919007747241"/>
    <n v="99.789057797272406"/>
    <n v="-0.13772052260354428"/>
    <n v="99.717572679367166"/>
    <n v="0.36044210683509448"/>
    <n v="99.83467931066609"/>
    <n v="-0.10107351376727536"/>
    <n v="100.11717949872148"/>
    <n v="-0.13772052260354428"/>
    <n v="48.502668746393397"/>
    <n v="49.937149083942124"/>
    <n v="1.0295752867754395"/>
    <n v="0.6491306286223808"/>
    <n v="1.5253644778232458E-3"/>
    <n v="0.99668372750951384"/>
    <n v="5.0881873737722577E-5"/>
    <n v="0.99815266160018268"/>
    <n v="2.1792548319655228E-3"/>
    <n v="0.99926128030825456"/>
    <n v="5.4734229891835191E-4"/>
    <n v="0.99622949319342902"/>
    <n v="2.6812348686610227E-3"/>
    <n v="1.001171794987215"/>
    <n v="3.1524096862924018E-4"/>
    <n v="0.99624345864921937"/>
    <n v="1.8573216407891382E-3"/>
    <n v="1.0008410431417569"/>
    <n v="-1.0974369423577457E-3"/>
    <n v="0.99805333662582363"/>
    <n v="2.1842919007747244E-3"/>
    <n v="0.99789057797272429"/>
    <n v="-1.377205226035443E-3"/>
    <n v="0.99717572679367172"/>
    <n v="3.6044210683509451E-3"/>
    <n v="0.99834679310666097"/>
    <n v="-1.0107351376727536E-3"/>
    <n v="1.001171794987215"/>
    <n v="12.982612572447614"/>
    <n v="3.0507289556464912E-2"/>
    <n v="19.933674550190275"/>
    <n v="1.0176374747544515E-3"/>
    <n v="19.963053232003652"/>
    <n v="4.3585096639310456E-2"/>
    <n v="19.985225606165091"/>
    <n v="1.0946845978367037E-2"/>
    <n v="19.924589863868579"/>
    <n v="5.3624697373220447E-2"/>
    <n v="20.0234358997443"/>
    <n v="6.304819372584803E-3"/>
    <n v="19.924869172984387"/>
    <n v="3.7146432815782761E-2"/>
    <n v="20.016820862835139"/>
    <n v="-2.1948738847154915E-2"/>
    <n v="19.961066732516471"/>
    <n v="4.3685838015494485E-2"/>
    <n v="19.957811559454484"/>
    <n v="-2.7544104520708858E-2"/>
    <n v="19.943514535873433"/>
    <n v="7.2088421367018901E-2"/>
    <n v="19.966935862133219"/>
    <n v="-2.0214702753455074E-2"/>
    <m/>
  </r>
  <r>
    <n v="2017"/>
    <x v="4"/>
    <n v="0.05"/>
    <n v="0.2"/>
    <s v="Apoya "/>
    <x v="25"/>
    <x v="25"/>
    <s v="EN EL ECUADOR: 2004 - 2013/ página 73"/>
    <n v="2013"/>
    <s v="%"/>
    <n v="0.75970000000000004"/>
    <n v="0.69689999999999996"/>
    <n v="0.67520000000000002"/>
    <n v="0.77010000000000001"/>
    <n v="0.72909999999999997"/>
    <n v="0.73899999999999999"/>
    <n v="0.75439999999999996"/>
    <n v="0.68979999999999997"/>
    <n v="0.7298"/>
    <n v="0.7984"/>
    <n v="0.71550000000000002"/>
    <n v="0.69369999999999998"/>
    <n v="0.69740000000000002"/>
    <n v="0.73619999999999997"/>
    <n v="0.78979999999999995"/>
    <n v="0.82579999999999998"/>
    <n v="0.85289999999999999"/>
    <n v="0.80769999999999997"/>
    <n v="0.89480000000000004"/>
    <n v="0.82450000000000001"/>
    <n v="0.64659999999999995"/>
    <n v="0.7873"/>
    <n v="0.755"/>
    <n v="0.82779999999999998"/>
    <n v="0.64659999999999995"/>
    <n v="0.75822499999999993"/>
    <n v="6.1673560327568745E-2"/>
    <n v="8.1339391773640746E-2"/>
    <e v="#REF!"/>
    <n v="0.89480000000000004"/>
    <n v="0.64659999999999995"/>
    <n v="1.3838540055675845"/>
    <n v="0.89480000000000004"/>
    <n v="45.568090249798573"/>
    <n v="20.265914585012084"/>
    <n v="11.522965350523794"/>
    <n v="49.758259468170834"/>
    <n v="33.239323126510875"/>
    <n v="37.228041901692187"/>
    <n v="43.432715551974198"/>
    <n v="17.40531829170024"/>
    <n v="33.521353746978249"/>
    <n v="61.160354552780014"/>
    <n v="27.759871071716379"/>
    <n v="18.976631748589853"/>
    <n v="20.467365028203083"/>
    <n v="36.099919419822719"/>
    <n v="57.695406929895221"/>
    <n v="72.199838839645437"/>
    <n v="83.118452860596278"/>
    <n v="64.907332796132138"/>
    <n v="100"/>
    <n v="71.676067687348905"/>
    <n v="0"/>
    <n v="56.688154713940378"/>
    <n v="43.674456083803392"/>
    <n v="73.005640612409323"/>
    <n v="100"/>
    <n v="0"/>
    <n v="44.97381144238517"/>
    <n v="24.848332122308111"/>
    <n v="0.55250669946310182"/>
    <n v="0.45568090249798576"/>
    <n v="0.20265914585012085"/>
    <n v="0.11522965350523795"/>
    <n v="0.4975825946817084"/>
    <n v="0.33239323126510878"/>
    <n v="0.37228041901692194"/>
    <n v="0.43432715551974205"/>
    <n v="0.17405318291700242"/>
    <n v="0.33521353746978255"/>
    <n v="0.61160354552780027"/>
    <n v="0.2775987107171638"/>
    <n v="0.18976631748589856"/>
    <n v="0.20467365028203088"/>
    <n v="0.36099919419822724"/>
    <n v="0.57695406929895232"/>
    <n v="0.72199838839645447"/>
    <n v="0.83118452860596281"/>
    <n v="0.64907332796132144"/>
    <n v="1"/>
    <n v="0.7167606768734891"/>
    <n v="0"/>
    <n v="0.56688154713940386"/>
    <n v="0.43674456083803392"/>
    <n v="0.73005640612409328"/>
    <n v="1"/>
    <n v="9.1136180499597153"/>
    <n v="4.0531829170024167"/>
    <n v="2.304593070104759"/>
    <n v="9.9516518936341676"/>
    <n v="6.6478646253021756"/>
    <n v="7.4456083803384381"/>
    <n v="8.6865431103948403"/>
    <n v="3.4810636583400481"/>
    <n v="6.7042707493956506"/>
    <n v="12.232070910556004"/>
    <n v="5.551974214343276"/>
    <n v="3.7953263497179708"/>
    <n v="4.0934730056406172"/>
    <n v="7.2199838839645443"/>
    <n v="11.539081385979046"/>
    <n v="14.439967767929089"/>
    <n v="16.623690572119255"/>
    <n v="12.981466559226428"/>
    <n v="20"/>
    <n v="14.335213537469782"/>
    <n v="0"/>
    <n v="11.337630942788076"/>
    <n v="8.734891216760678"/>
    <n v="14.601128122481866"/>
    <m/>
  </r>
  <r>
    <n v="2017"/>
    <x v="4"/>
    <n v="0.05"/>
    <n v="0.2"/>
    <s v="Apoya "/>
    <x v="26"/>
    <x v="26"/>
    <s v="Sistema Nacional de Información  - SENPLADES"/>
    <n v="2015"/>
    <s v="$"/>
    <n v="82.565950000000001"/>
    <n v="55.554119999999998"/>
    <n v="57.71322"/>
    <n v="60.988909999999997"/>
    <n v="40.062989999999999"/>
    <n v="67.776629999999997"/>
    <n v="57.262799999999999"/>
    <n v="82.574780000000004"/>
    <n v="166.26438999999999"/>
    <n v="56.896839999999997"/>
    <n v="92.644869999999997"/>
    <n v="76.238600000000005"/>
    <n v="41.247480000000003"/>
    <n v="67.967380000000006"/>
    <n v="61.344895114762629"/>
    <n v="149.85448"/>
    <n v="65.74736"/>
    <n v="103.36175"/>
    <n v="60.983530000000002"/>
    <n v="86.222740000000002"/>
    <n v="41.617750000000001"/>
    <n v="126.57756000000001"/>
    <n v="53.816029999999998"/>
    <n v="56.627850000000002"/>
    <n v="41.617750000000001"/>
    <n v="75.496371046448431"/>
    <n v="32.49805005761548"/>
    <n v="0.43045843935493749"/>
    <e v="#REF!"/>
    <n v="166.26438999999999"/>
    <n v="40.062989999999999"/>
    <n v="4.1500744203066224"/>
    <n v="166.26438999999999"/>
    <n v="33.678675513900799"/>
    <n v="12.274927219507866"/>
    <n v="13.985764024804798"/>
    <n v="16.581369144874778"/>
    <n v="0"/>
    <n v="21.959851475498688"/>
    <n v="13.628858316944187"/>
    <n v="33.685672266710199"/>
    <n v="100"/>
    <n v="13.338877381708919"/>
    <n v="41.665052844104743"/>
    <n v="28.664983114291925"/>
    <n v="0.93857120443989039"/>
    <n v="22.110998768634904"/>
    <n v="16.863446138285813"/>
    <n v="86.997045991565869"/>
    <n v="20.351889915642776"/>
    <n v="50.156939621905941"/>
    <n v="16.57710611768174"/>
    <n v="36.57625826654855"/>
    <n v="1.2319673157350091"/>
    <n v="68.552781506385827"/>
    <n v="10.897692101672405"/>
    <n v="13.125733945899176"/>
    <n v="100"/>
    <n v="0"/>
    <n v="28.076852591531033"/>
    <n v="25.750942586703072"/>
    <n v="0.91715916172421919"/>
    <n v="0.33678675513900802"/>
    <n v="0.12274927219507868"/>
    <n v="0.139857640248048"/>
    <n v="0.1658136914487478"/>
    <n v="0"/>
    <n v="0.21959851475498693"/>
    <n v="0.1362885831694419"/>
    <n v="0.33685672266710204"/>
    <n v="1"/>
    <n v="0.13338877381708922"/>
    <n v="0.4166505284410475"/>
    <n v="0.28664983114291925"/>
    <n v="9.3857120443989056E-3"/>
    <n v="0.22110998768634907"/>
    <n v="0.16863446138285815"/>
    <n v="0.8699704599156588"/>
    <n v="0.20351889915642776"/>
    <n v="0.50156939621905949"/>
    <n v="0.16577106117681742"/>
    <n v="0.36576258266548556"/>
    <n v="1.2319673157350093E-2"/>
    <n v="0.68552781506385829"/>
    <n v="0.10897692101672406"/>
    <n v="0.13125733945899176"/>
    <n v="1"/>
    <n v="6.7357351027801604"/>
    <n v="2.4549854439015735"/>
    <n v="2.7971528049609597"/>
    <n v="3.3162738289749556"/>
    <n v="0"/>
    <n v="4.3919702950997381"/>
    <n v="2.7257716633888376"/>
    <n v="6.7371344533420405"/>
    <n v="20"/>
    <n v="2.667775476341784"/>
    <n v="8.3330105688209493"/>
    <n v="5.7329966228583853"/>
    <n v="0.18771424088797808"/>
    <n v="4.4221997537269813"/>
    <n v="3.3726892276571627"/>
    <n v="17.399409198313176"/>
    <n v="4.0703779831285551"/>
    <n v="10.031387924381189"/>
    <n v="3.3154212235363483"/>
    <n v="7.3152516533097103"/>
    <n v="0.24639346314700183"/>
    <n v="13.710556301277165"/>
    <n v="2.179538420334481"/>
    <n v="2.6251467891798352"/>
    <m/>
  </r>
  <r>
    <n v="2017"/>
    <x v="4"/>
    <n v="0.05"/>
    <n v="0.2"/>
    <s v="Apoya "/>
    <x v="27"/>
    <x v="27"/>
    <s v="INEC - Clasificador Geografico Estadísticos"/>
    <n v="2016"/>
    <s v="Tasa x 1.000.000 hab."/>
    <n v="147.44560999999999"/>
    <n v="196.03465"/>
    <n v="190.95495"/>
    <n v="249.20375999999999"/>
    <n v="154.82543000000001"/>
    <n v="129.51943"/>
    <n v="159.82445999999999"/>
    <n v="140.42525000000001"/>
    <n v="437.82837000000001"/>
    <n v="31.54589"/>
    <n v="138.10629"/>
    <n v="267.28082000000001"/>
    <n v="78.394580000000005"/>
    <n v="86.875259999999997"/>
    <n v="479.92429363255377"/>
    <n v="289.30441999999999"/>
    <n v="271.26895000000002"/>
    <n v="297.85662000000002"/>
    <n v="39.980020000000003"/>
    <n v="232.33147"/>
    <n v="142.69208"/>
    <n v="514.35825999999997"/>
    <n v="58.310360000000003"/>
    <n v="54.345910000000003"/>
    <n v="142.69208"/>
    <n v="199.52654723468973"/>
    <n v="133.41086006841149"/>
    <n v="0.66863714085870096"/>
    <n v="0.29670000000000002"/>
    <n v="514.35825999999997"/>
    <n v="31.54589"/>
    <n v="16.305079996157978"/>
    <n v="514.35825999999997"/>
    <n v="24.005126463516248"/>
    <n v="34.06887855835177"/>
    <n v="33.016772126198838"/>
    <n v="45.081253821230803"/>
    <n v="25.533633282842359"/>
    <n v="20.292259703288053"/>
    <n v="26.56903136098191"/>
    <n v="22.551070926372496"/>
    <n v="84.149144728831203"/>
    <n v="0"/>
    <n v="22.070768402226314"/>
    <n v="48.825370816410526"/>
    <n v="9.7032911563554194"/>
    <n v="11.459807875262184"/>
    <n v="92.86804388059771"/>
    <n v="53.386894374723667"/>
    <n v="49.651391491895716"/>
    <n v="55.158224301502479"/>
    <n v="1.7468752923625388"/>
    <n v="41.586668543724343"/>
    <n v="23.020576295507922"/>
    <n v="100"/>
    <n v="5.5434515896931149"/>
    <n v="4.7223355109977829"/>
    <n v="100"/>
    <n v="0"/>
    <n v="34.792119604286398"/>
    <n v="27.632030237421507"/>
    <n v="0.79420370335865464"/>
    <n v="0.24005126463516252"/>
    <n v="0.34068878558351773"/>
    <n v="0.33016772126198846"/>
    <n v="0.45081253821230804"/>
    <n v="0.25533633282842366"/>
    <n v="0.20292259703288057"/>
    <n v="0.26569031360981915"/>
    <n v="0.22551070926372496"/>
    <n v="0.84149144728831216"/>
    <n v="0"/>
    <n v="0.22070768402226315"/>
    <n v="0.48825370816410535"/>
    <n v="9.7032911563554203E-2"/>
    <n v="0.11459807875262185"/>
    <n v="0.92868043880597717"/>
    <n v="0.5338689437472367"/>
    <n v="0.49651391491895719"/>
    <n v="0.55158224301502479"/>
    <n v="1.7468752923625389E-2"/>
    <n v="0.41586668543724348"/>
    <n v="0.23020576295507925"/>
    <n v="1"/>
    <n v="5.5434515896931151E-2"/>
    <n v="4.7223355109977834E-2"/>
    <n v="1"/>
    <n v="4.8010252927032502"/>
    <n v="6.8137757116703543"/>
    <n v="6.6033544252397682"/>
    <n v="9.0162507642461609"/>
    <n v="5.1067266565684726"/>
    <n v="4.0584519406576112"/>
    <n v="5.3138062721963824"/>
    <n v="4.5102141852744992"/>
    <n v="16.829828945766241"/>
    <n v="0"/>
    <n v="4.4141536804452626"/>
    <n v="9.7650741632821063"/>
    <n v="1.9406582312710841"/>
    <n v="2.2919615750524369"/>
    <n v="18.573608776119542"/>
    <n v="10.677378874944734"/>
    <n v="9.9302782983791431"/>
    <n v="11.031644860300496"/>
    <n v="0.34937505847250777"/>
    <n v="8.3173337087448687"/>
    <n v="4.6041152591015848"/>
    <n v="20"/>
    <n v="1.1086903179386229"/>
    <n v="0.94446710219955665"/>
    <m/>
  </r>
  <r>
    <n v="2017"/>
    <x v="5"/>
    <n v="0.1"/>
    <n v="0.2"/>
    <s v="Apoya "/>
    <x v="28"/>
    <x v="28"/>
    <s v="Ministerio de Transporte y Obras Públicas: Estadísticas de Transporte "/>
    <s v="2017 (para Red Vial Estatal) y 2010 (para superficie km2 de cada provincia)"/>
    <s v="%"/>
    <n v="6.7199999999999996E-2"/>
    <n v="7.9100000000000004E-2"/>
    <n v="9.5299999999999996E-2"/>
    <n v="9.5100000000000004E-2"/>
    <n v="7.0199999999999999E-2"/>
    <n v="3.9E-2"/>
    <n v="6.9500000000000006E-2"/>
    <n v="3.39E-2"/>
    <n v="4.7000000000000002E-3"/>
    <n v="5.33E-2"/>
    <n v="7.2400000000000006E-2"/>
    <n v="6.8500000000000005E-2"/>
    <n v="4.4600000000000001E-2"/>
    <n v="6.0299999999999999E-2"/>
    <n v="2.5100000000000001E-2"/>
    <n v="2.5700000000000001E-2"/>
    <n v="1.0800000000000001E-2"/>
    <n v="4.7000000000000002E-3"/>
    <n v="5.8000000000000003E-2"/>
    <n v="3.5200000000000002E-2"/>
    <n v="7.17E-2"/>
    <n v="2.6100000000000002E-2"/>
    <n v="4.3799999999999999E-2"/>
    <n v="7.0199999999999999E-2"/>
    <n v="7.17E-2"/>
    <n v="5.1016666666666682E-2"/>
    <n v="2.6363292442443436E-2"/>
    <n v="0.51675842748990708"/>
    <e v="#REF!"/>
    <n v="9.5299999999999996E-2"/>
    <n v="4.7000000000000002E-3"/>
    <n v="20.276595744680851"/>
    <n v="9.5299999999999996E-2"/>
    <n v="68.984547461368649"/>
    <n v="82.119205298013256"/>
    <n v="100"/>
    <n v="99.779249448123636"/>
    <n v="72.29580573951435"/>
    <n v="37.858719646799116"/>
    <n v="71.523178807947033"/>
    <n v="32.229580573951431"/>
    <n v="0"/>
    <n v="53.642384105960261"/>
    <n v="74.724061810154538"/>
    <n v="70.419426048565143"/>
    <n v="44.039735099337747"/>
    <n v="61.368653421633546"/>
    <n v="22.516556291390728"/>
    <n v="23.17880794701987"/>
    <n v="6.7328918322295817"/>
    <n v="0"/>
    <n v="58.83002207505519"/>
    <n v="33.66445916114791"/>
    <n v="73.951434878587193"/>
    <n v="23.620309050772629"/>
    <n v="43.15673289183222"/>
    <n v="72.29580573951435"/>
    <n v="100"/>
    <n v="0"/>
    <n v="51.122148638704942"/>
    <n v="29.098556779738924"/>
    <n v="0.56919667022188114"/>
    <n v="1.3796909492273732"/>
    <n v="1.6423841059602653"/>
    <n v="2"/>
    <n v="1.995584988962473"/>
    <n v="1.445916114790287"/>
    <n v="0.75717439293598243"/>
    <n v="1.4304635761589408"/>
    <n v="0.64459161147902866"/>
    <n v="0"/>
    <n v="1.0728476821192054"/>
    <n v="1.494481236203091"/>
    <n v="1.408388520971303"/>
    <n v="0.88079470198675502"/>
    <n v="1.2273730684326711"/>
    <n v="0.45033112582781459"/>
    <n v="0.46357615894039744"/>
    <n v="0.13465783664459163"/>
    <n v="0"/>
    <n v="1.176600441501104"/>
    <n v="0.67328918322295828"/>
    <n v="1.4790286975717439"/>
    <n v="0.47240618101545268"/>
    <n v="0.86313465783664456"/>
    <n v="1.445916114790287"/>
    <n v="2"/>
    <n v="13.796909492273731"/>
    <n v="16.423841059602651"/>
    <n v="20"/>
    <n v="19.95584988962473"/>
    <n v="14.45916114790287"/>
    <n v="7.5717439293598234"/>
    <n v="14.304635761589408"/>
    <n v="6.4459161147902861"/>
    <n v="0"/>
    <n v="10.728476821192054"/>
    <n v="14.944812362030909"/>
    <n v="14.08388520971303"/>
    <n v="8.8079470198675498"/>
    <n v="12.27373068432671"/>
    <n v="4.5033112582781456"/>
    <n v="4.6357615894039741"/>
    <n v="1.3465783664459163"/>
    <n v="0"/>
    <n v="11.766004415011039"/>
    <n v="6.7328918322295825"/>
    <n v="14.790286975717439"/>
    <n v="4.7240618101545264"/>
    <n v="8.6313465783664451"/>
    <n v="14.45916114790287"/>
    <m/>
  </r>
  <r>
    <n v="2017"/>
    <x v="5"/>
    <n v="0.1"/>
    <n v="0.2"/>
    <s v="Destruye"/>
    <x v="29"/>
    <x v="29"/>
    <s v="Ministerio de Transporte y Obras Públicas "/>
    <n v="2017"/>
    <s v="km"/>
    <n v="195"/>
    <n v="168"/>
    <n v="201"/>
    <n v="232"/>
    <n v="228"/>
    <n v="123"/>
    <n v="183"/>
    <n v="328"/>
    <n v="1086"/>
    <n v="8.8000000000000007"/>
    <n v="103"/>
    <n v="401"/>
    <n v="90.6"/>
    <n v="189"/>
    <n v="369"/>
    <n v="168"/>
    <n v="269"/>
    <n v="247"/>
    <n v="34.700000000000003"/>
    <n v="243"/>
    <n v="174"/>
    <n v="456"/>
    <n v="134"/>
    <n v="167"/>
    <n v="174"/>
    <n v="241.58749999999998"/>
    <n v="209.01314772978532"/>
    <n v="0.86516540685997967"/>
    <e v="#REF!"/>
    <n v="1086"/>
    <n v="8.8000000000000007"/>
    <n v="123.40909090909089"/>
    <n v="8.8000000000000007"/>
    <n v="82.714444857036767"/>
    <n v="85.220943186037886"/>
    <n v="82.157445228369852"/>
    <n v="79.2796138135908"/>
    <n v="79.650946899368734"/>
    <n v="89.398440401039736"/>
    <n v="83.828444114370598"/>
    <n v="70.367619754920156"/>
    <n v="0"/>
    <n v="100"/>
    <n v="91.255105829929448"/>
    <n v="63.590790939472711"/>
    <n v="92.406238395841072"/>
    <n v="83.271444485703682"/>
    <n v="66.561455625696254"/>
    <n v="85.220943186037886"/>
    <n v="75.844782770144818"/>
    <n v="77.887114741923511"/>
    <n v="97.595618269587817"/>
    <n v="78.258447827701445"/>
    <n v="84.66394355737097"/>
    <n v="58.484961010025998"/>
    <n v="88.377274415150396"/>
    <n v="85.313776457482362"/>
    <n v="100"/>
    <n v="0"/>
    <n v="78.389574823616783"/>
    <n v="19.403374278665577"/>
    <n v="0.24752493328768296"/>
    <n v="1.6542888971407355"/>
    <n v="1.704418863720758"/>
    <n v="1.643148904567397"/>
    <n v="1.5855922762718162"/>
    <n v="1.5930189379873747"/>
    <n v="1.7879688080207949"/>
    <n v="1.6765688822874123"/>
    <n v="1.4073523950984033"/>
    <n v="0"/>
    <n v="2"/>
    <n v="1.825102116598589"/>
    <n v="1.2718158187894544"/>
    <n v="1.8481247679168218"/>
    <n v="1.6654288897140739"/>
    <n v="1.3312291125139253"/>
    <n v="1.704418863720758"/>
    <n v="1.5168956554028965"/>
    <n v="1.5577422948384703"/>
    <n v="1.9519123653917565"/>
    <n v="1.565168956554029"/>
    <n v="1.6932788711474196"/>
    <n v="1.1696992202005201"/>
    <n v="1.7675454883030082"/>
    <n v="1.7062755291496474"/>
    <n v="2"/>
    <n v="16.542888971407354"/>
    <n v="17.044188637207579"/>
    <n v="16.43148904567397"/>
    <n v="15.85592276271816"/>
    <n v="15.930189379873747"/>
    <n v="17.879688080207949"/>
    <n v="16.765688822874122"/>
    <n v="14.073523950984033"/>
    <n v="0"/>
    <n v="20"/>
    <n v="18.25102116598589"/>
    <n v="12.718158187894543"/>
    <n v="18.481247679168217"/>
    <n v="16.654288897140738"/>
    <n v="13.312291125139252"/>
    <n v="17.044188637207579"/>
    <n v="15.168956554028965"/>
    <n v="15.577422948384703"/>
    <n v="19.519123653917564"/>
    <n v="15.651689565540289"/>
    <n v="16.932788711474196"/>
    <n v="11.6969922020052"/>
    <n v="17.675454883030081"/>
    <n v="17.062755291496472"/>
    <m/>
  </r>
  <r>
    <n v="2017"/>
    <x v="5"/>
    <n v="0.1"/>
    <n v="0.2"/>
    <s v="Destruye"/>
    <x v="30"/>
    <x v="30"/>
    <s v="Ministerio de Transporte y Obras Públicas "/>
    <n v="2017"/>
    <s v="km"/>
    <n v="174"/>
    <n v="177"/>
    <n v="203"/>
    <n v="375"/>
    <n v="238"/>
    <n v="335"/>
    <n v="5.4"/>
    <n v="1"/>
    <n v="978"/>
    <n v="15.6"/>
    <n v="292"/>
    <n v="238"/>
    <n v="82.1"/>
    <n v="44"/>
    <n v="379"/>
    <n v="493"/>
    <n v="594"/>
    <n v="367"/>
    <n v="315"/>
    <n v="568"/>
    <n v="264"/>
    <n v="302"/>
    <n v="5.2"/>
    <n v="177"/>
    <n v="264"/>
    <n v="275.92916666666667"/>
    <n v="226.57029330424368"/>
    <n v="0.82111759347988589"/>
    <e v="#REF!"/>
    <n v="978"/>
    <n v="1"/>
    <n v="978"/>
    <n v="1"/>
    <n v="82.292732855680654"/>
    <n v="81.985670419651996"/>
    <n v="79.324462640736954"/>
    <n v="61.719549641760487"/>
    <n v="75.742067553735922"/>
    <n v="65.813715455475943"/>
    <n v="99.549641760491298"/>
    <n v="100"/>
    <n v="0"/>
    <n v="98.505629477993864"/>
    <n v="70.214943705220065"/>
    <n v="75.742067553735922"/>
    <n v="91.699078812691909"/>
    <n v="95.598771750255892"/>
    <n v="61.310133060388942"/>
    <n v="49.641760491299905"/>
    <n v="39.303991811668368"/>
    <n v="62.538382804503584"/>
    <n v="67.860798362333668"/>
    <n v="41.965199590583424"/>
    <n v="73.08085977482088"/>
    <n v="69.191402251791203"/>
    <n v="99.570112589559884"/>
    <n v="81.985670419651996"/>
    <n v="100"/>
    <n v="0"/>
    <n v="71.859860116001371"/>
    <n v="23.190408731242933"/>
    <n v="0.32271714269701196"/>
    <n v="1.6458546571136132"/>
    <n v="1.63971340839304"/>
    <n v="1.5864892528147392"/>
    <n v="1.2343909928352099"/>
    <n v="1.5148413510747185"/>
    <n v="1.316274309109519"/>
    <n v="1.9909928352098263"/>
    <n v="2"/>
    <n v="0"/>
    <n v="1.9701125895598777"/>
    <n v="1.4042988741044014"/>
    <n v="1.5148413510747185"/>
    <n v="1.8339815762538383"/>
    <n v="1.9119754350051179"/>
    <n v="1.226202661207779"/>
    <n v="0.99283520982599827"/>
    <n v="0.78607983623336741"/>
    <n v="1.2507676560900718"/>
    <n v="1.3572159672466735"/>
    <n v="0.83930399181166848"/>
    <n v="1.4616171954964177"/>
    <n v="1.3838280450358242"/>
    <n v="1.9914022517911978"/>
    <n v="1.63971340839304"/>
    <n v="2"/>
    <n v="16.458546571136132"/>
    <n v="16.3971340839304"/>
    <n v="15.864892528147392"/>
    <n v="12.343909928352097"/>
    <n v="15.148413510747185"/>
    <n v="13.162743091095189"/>
    <n v="19.909928352098262"/>
    <n v="20"/>
    <n v="0"/>
    <n v="19.701125895598775"/>
    <n v="14.042988741044013"/>
    <n v="15.148413510747185"/>
    <n v="18.339815762538382"/>
    <n v="19.119754350051178"/>
    <n v="12.26202661207779"/>
    <n v="9.9283520982599818"/>
    <n v="7.8607983623336741"/>
    <n v="12.507676560900718"/>
    <n v="13.572159672466734"/>
    <n v="8.3930399181166848"/>
    <n v="14.616171954964177"/>
    <n v="13.838280450358241"/>
    <n v="19.914022517911977"/>
    <n v="16.3971340839304"/>
    <m/>
  </r>
  <r>
    <n v="2017"/>
    <x v="5"/>
    <n v="0.1"/>
    <n v="0.2"/>
    <s v="Apoya "/>
    <x v="31"/>
    <x v="31"/>
    <s v="Superintendencia de Telecomunicaciones"/>
    <n v="2017"/>
    <s v="%"/>
    <n v="0.2354"/>
    <n v="0.1217"/>
    <n v="0.1321"/>
    <n v="0.14960000000000001"/>
    <n v="0.13589999999999999"/>
    <n v="0.1111"/>
    <n v="0.13170000000000001"/>
    <n v="7.6399999999999996E-2"/>
    <n v="0.31040000000000001"/>
    <n v="0.15959999999999999"/>
    <n v="0.17069999999999999"/>
    <n v="0.1457"/>
    <n v="5.8500000000000003E-2"/>
    <n v="7.6300000000000007E-2"/>
    <n v="0.13164796539137488"/>
    <n v="0.11550000000000001"/>
    <n v="8.4000000000000005E-2"/>
    <n v="0.16139999999999999"/>
    <n v="0.31380000000000002"/>
    <n v="9.2299999999999993E-2"/>
    <n v="0.1782"/>
    <n v="0.1318"/>
    <n v="8.8900000000000007E-2"/>
    <n v="0.153"/>
    <n v="0.1782"/>
    <n v="0.14440199855797395"/>
    <n v="6.4686217297779652E-2"/>
    <n v="0.44795929380305416"/>
    <e v="#REF!"/>
    <n v="0.31380000000000002"/>
    <n v="5.8500000000000003E-2"/>
    <n v="5.3641025641025646"/>
    <n v="0.31380000000000002"/>
    <n v="69.291030160595369"/>
    <n v="24.755189972581277"/>
    <n v="28.828828828828822"/>
    <n v="35.683509596553073"/>
    <n v="30.317273795534661"/>
    <n v="20.603211907559732"/>
    <n v="28.67215041128085"/>
    <n v="7.0113591852722257"/>
    <n v="98.668233450842152"/>
    <n v="39.600470035252641"/>
    <n v="43.948296122209157"/>
    <n v="34.155895025460239"/>
    <n v="0"/>
    <n v="6.9721895808852334"/>
    <n v="28.651768660938064"/>
    <n v="22.326674500587544"/>
    <n v="9.9882491186838998"/>
    <n v="40.305522914218564"/>
    <n v="100"/>
    <n v="13.239326282804539"/>
    <n v="46.886016451233836"/>
    <n v="28.711320015667841"/>
    <n v="11.907559733646691"/>
    <n v="37.015276145710921"/>
    <n v="100"/>
    <n v="0"/>
    <n v="33.647472995681142"/>
    <n v="25.337335408452631"/>
    <n v="0.75302342650530796"/>
    <n v="1.3858206032119076"/>
    <n v="0.49510379945162558"/>
    <n v="0.57657657657657646"/>
    <n v="0.71367019193106151"/>
    <n v="0.60634547591069321"/>
    <n v="0.4120642381511947"/>
    <n v="0.57344300822561711"/>
    <n v="0.14022718370544451"/>
    <n v="1.9733646690168432"/>
    <n v="0.79200940070505288"/>
    <n v="0.87896592244418326"/>
    <n v="0.68311790050920485"/>
    <n v="0"/>
    <n v="0.13944379161770468"/>
    <n v="0.5730353732187613"/>
    <n v="0.44653349001175091"/>
    <n v="0.19976498237367801"/>
    <n v="0.80611045828437133"/>
    <n v="2"/>
    <n v="0.26478652565609079"/>
    <n v="0.93772032902467672"/>
    <n v="0.57422640031335692"/>
    <n v="0.23815119467293383"/>
    <n v="0.74030552291421847"/>
    <n v="2"/>
    <n v="13.858206032119075"/>
    <n v="4.9510379945162555"/>
    <n v="5.7657657657657646"/>
    <n v="7.1367019193106147"/>
    <n v="6.0634547591069321"/>
    <n v="4.1206423815119466"/>
    <n v="5.7344300822561705"/>
    <n v="1.4022718370544451"/>
    <n v="19.733646690168431"/>
    <n v="7.9200940070505288"/>
    <n v="8.7896592244418326"/>
    <n v="6.8311790050920482"/>
    <n v="0"/>
    <n v="1.3944379161770468"/>
    <n v="5.7303537321876128"/>
    <n v="4.4653349001175089"/>
    <n v="1.9976498237367801"/>
    <n v="8.0611045828437131"/>
    <n v="20"/>
    <n v="2.647865256560908"/>
    <n v="9.3772032902467668"/>
    <n v="5.7422640031335686"/>
    <n v="2.3815119467293382"/>
    <n v="7.4030552291421845"/>
    <m/>
  </r>
  <r>
    <n v="2017"/>
    <x v="6"/>
    <n v="0.05"/>
    <e v="#N/A"/>
    <s v="Apoya "/>
    <x v="32"/>
    <x v="32"/>
    <s v="Superintendencia de Telecomunicaciones"/>
    <n v="2015"/>
    <s v="%"/>
    <n v="0.52"/>
    <n v="0.4"/>
    <n v="0.47"/>
    <n v="0.51"/>
    <n v="0.4"/>
    <n v="0.47"/>
    <n v="0.52"/>
    <n v="0.39"/>
    <n v="0.65"/>
    <n v="0.53"/>
    <n v="0.53"/>
    <n v="0.53"/>
    <n v="0.49"/>
    <n v="0.48"/>
    <n v="0.25"/>
    <n v="0.35"/>
    <n v="0.36"/>
    <n v="0.35"/>
    <n v="0.57999999999999996"/>
    <n v="0.38"/>
    <n v="0.52"/>
    <n v="0.41"/>
    <n v="0.46"/>
    <n v="0.52"/>
    <n v="0.52"/>
    <n v="0.46125000000000016"/>
    <n v="8.9165820123300071E-2"/>
    <n v="0.19331343116162611"/>
    <e v="#REF!"/>
    <n v="0.65"/>
    <n v="0.25"/>
    <n v="2.6"/>
    <n v="0.65"/>
    <n v="67.5"/>
    <n v="37.500000000000007"/>
    <n v="54.999999999999993"/>
    <n v="65"/>
    <n v="37.500000000000007"/>
    <n v="54.999999999999993"/>
    <n v="67.5"/>
    <n v="35"/>
    <n v="100"/>
    <n v="70"/>
    <n v="70"/>
    <n v="70"/>
    <n v="60"/>
    <n v="57.499999999999993"/>
    <n v="0"/>
    <n v="24.999999999999993"/>
    <n v="27.499999999999996"/>
    <n v="24.999999999999993"/>
    <n v="82.499999999999986"/>
    <n v="32.5"/>
    <n v="67.5"/>
    <n v="39.999999999999993"/>
    <n v="52.5"/>
    <n v="67.5"/>
    <n v="100"/>
    <n v="0"/>
    <n v="52.8125"/>
    <n v="22.291455030825251"/>
    <n v="0.4220867224771645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</r>
  <r>
    <n v="2017"/>
    <x v="6"/>
    <n v="0.05"/>
    <e v="#N/A"/>
    <s v="Apoya "/>
    <x v="33"/>
    <x v="33"/>
    <s v="Superintendencia de Telecomunicaciones"/>
    <n v="2017"/>
    <s v="%"/>
    <n v="0.12859999999999999"/>
    <n v="4.7600000000000003E-2"/>
    <n v="7.5999999999999998E-2"/>
    <n v="7.3800000000000004E-2"/>
    <n v="8.1000000000000003E-2"/>
    <n v="6.2100000000000002E-2"/>
    <n v="8.3500000000000005E-2"/>
    <n v="5.5E-2"/>
    <n v="0.13150000000000001"/>
    <n v="0.109"/>
    <n v="0.1109"/>
    <n v="9.4500000000000001E-2"/>
    <n v="3.9600000000000003E-2"/>
    <n v="5.6899999999999999E-2"/>
    <n v="5.3199999999999997E-2"/>
    <n v="6.5600000000000006E-2"/>
    <n v="5.7299999999999997E-2"/>
    <n v="8.5000000000000006E-2"/>
    <n v="0.17660000000000001"/>
    <n v="5.2999999999999999E-2"/>
    <n v="0.109"/>
    <n v="6.1100000000000002E-2"/>
    <n v="5.74E-2"/>
    <n v="8.4099999999999994E-2"/>
    <n v="0.109"/>
    <n v="8.1345833333333326E-2"/>
    <n v="3.2609454206152994E-2"/>
    <n v="0.40087430259062229"/>
    <e v="#REF!"/>
    <n v="0.17660000000000001"/>
    <n v="3.9600000000000003E-2"/>
    <n v="4.4595959595959593"/>
    <n v="0.17660000000000001"/>
    <n v="64.96350364963503"/>
    <n v="5.8394160583941606"/>
    <n v="26.569343065693424"/>
    <n v="24.963503649635037"/>
    <n v="30.21897810218978"/>
    <n v="16.423357664233578"/>
    <n v="32.043795620437955"/>
    <n v="11.240875912408756"/>
    <n v="67.080291970802918"/>
    <n v="50.656934306569333"/>
    <n v="52.043795620437947"/>
    <n v="40.07299270072992"/>
    <n v="0"/>
    <n v="12.627737226277368"/>
    <n v="9.927007299270068"/>
    <n v="18.978102189781019"/>
    <n v="12.919708029197075"/>
    <n v="33.138686131386862"/>
    <n v="100"/>
    <n v="9.7810218978102146"/>
    <n v="50.656934306569333"/>
    <n v="15.693430656934304"/>
    <n v="12.992700729927003"/>
    <n v="32.481751824817515"/>
    <n v="100"/>
    <n v="0"/>
    <n v="30.471411192214109"/>
    <n v="23.80252131835984"/>
    <n v="0.78114272976112553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</r>
  <r>
    <n v="2017"/>
    <x v="6"/>
    <n v="0.05"/>
    <e v="#N/A"/>
    <s v="Apoya "/>
    <x v="34"/>
    <x v="34"/>
    <s v="SENESCYT: visorgeografico"/>
    <s v="2010-2015"/>
    <s v="Tasa x 1.000.000 hab."/>
    <n v="7384.9187000000002"/>
    <n v="11419.01863"/>
    <n v="8908.2705700000006"/>
    <n v="9919.5254199999999"/>
    <n v="10639.3418"/>
    <n v="6334.2334499999997"/>
    <n v="5595.5209199999999"/>
    <n v="3529.3544900000002"/>
    <n v="3303.6140700000001"/>
    <n v="5151.3064199999999"/>
    <n v="7249.3245299999999"/>
    <n v="9406.0574699999997"/>
    <n v="4301.4207399999996"/>
    <n v="5357.0646399999996"/>
    <n v="3204.0016222793029"/>
    <n v="3413.7921099999999"/>
    <n v="51.321150000000003"/>
    <n v="5897.5611500000005"/>
    <n v="8612.0063499999997"/>
    <n v="611.99509999999998"/>
    <n v="8949.9646200000007"/>
    <n v="4071.0908800000002"/>
    <n v="22.67625"/>
    <n v="19.021070000000002"/>
    <n v="8949.9646200000007"/>
    <n v="5556.3500896783016"/>
    <n v="3441.5298752804993"/>
    <n v="0.61938679524057039"/>
    <e v="#REF!"/>
    <n v="11419.01863"/>
    <n v="19.021070000000002"/>
    <n v="600.33524034136883"/>
    <n v="11419.01863"/>
    <n v="64.613150934744596"/>
    <n v="100"/>
    <n v="77.975889496593894"/>
    <n v="86.846547974173419"/>
    <n v="93.160728097559343"/>
    <n v="55.396611681380051"/>
    <n v="48.916675820762194"/>
    <n v="30.792405011707739"/>
    <n v="28.812225465072821"/>
    <n v="45.020056565696322"/>
    <n v="63.423728136306721"/>
    <n v="82.342442185575337"/>
    <n v="37.564917426175306"/>
    <n v="46.824953618674279"/>
    <n v="27.938431876991586"/>
    <n v="29.778699707019939"/>
    <n v="0.28333409573115736"/>
    <n v="51.566152089597473"/>
    <n v="75.377079992989053"/>
    <n v="5.2015276922568043"/>
    <n v="78.34162685557628"/>
    <n v="35.544479625309677"/>
    <n v="3.2062989318745065E-2"/>
    <n v="0"/>
    <n v="100"/>
    <n v="0"/>
    <n v="48.573071972467197"/>
    <n v="30.188865016568439"/>
    <n v="0.62151442745232321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</r>
  <r>
    <n v="2017"/>
    <x v="6"/>
    <n v="0.05"/>
    <e v="#N/A"/>
    <s v="Apoya "/>
    <x v="35"/>
    <x v="35"/>
    <s v="INEC: Encuesta de Ciencia y Tecnología e Innovación"/>
    <n v="2014"/>
    <s v="$"/>
    <n v="1521.8191300000001"/>
    <n v="2358.0957600000002"/>
    <n v="314.45645999999999"/>
    <n v="726.01554999999996"/>
    <n v="3201.7875800000002"/>
    <n v="2488.8462100000002"/>
    <n v="659.31299999999999"/>
    <n v="730.60203000000001"/>
    <n v="4374.4444800000001"/>
    <n v="473.09113000000002"/>
    <n v="4336.4323599999998"/>
    <n v="2879.31259"/>
    <n v="1554.0092299999999"/>
    <n v="913.53786000000002"/>
    <n v="192.70428000000001"/>
    <n v="1813.3477600000001"/>
    <n v="1495.0761199999999"/>
    <n v="2991.17823"/>
    <n v="1600.4803899999999"/>
    <n v="877.42361000000005"/>
    <n v="849.83941000000004"/>
    <n v="490.28944000000001"/>
    <n v="1049.4887799999999"/>
    <n v="482.81603999999999"/>
    <n v="849.83941000000004"/>
    <n v="1598.9336429166667"/>
    <n v="1222.9536113737574"/>
    <n v="0.76485576295894808"/>
    <n v="0.997"/>
    <n v="4374.4444800000001"/>
    <n v="192.70428000000001"/>
    <n v="22.700297471337947"/>
    <n v="4374.4444800000001"/>
    <n v="31.783773893940136"/>
    <n v="51.782066231661162"/>
    <n v="2.9115194674217202"/>
    <n v="12.753333408899959"/>
    <n v="71.957681636941487"/>
    <n v="54.90876573346187"/>
    <n v="11.158242685664689"/>
    <n v="12.86301214982222"/>
    <n v="100"/>
    <n v="6.7050279689780821"/>
    <n v="99.090997570819908"/>
    <n v="64.246179377666749"/>
    <n v="32.553551509488798"/>
    <n v="17.237646183758617"/>
    <n v="0"/>
    <n v="38.755240700988551"/>
    <n v="31.144255207437322"/>
    <n v="66.921277175468717"/>
    <n v="33.664839102151781"/>
    <n v="16.374028448730506"/>
    <n v="15.7143939740685"/>
    <n v="7.1162995730820384"/>
    <n v="20.488707069846182"/>
    <n v="6.9375845013040269"/>
    <n v="100"/>
    <n v="0"/>
    <n v="33.627850982150136"/>
    <n v="29.24508823799615"/>
    <n v="0.869668664034452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</r>
  <r>
    <n v="2017"/>
    <x v="6"/>
    <n v="0.05"/>
    <e v="#N/A"/>
    <s v="Apoya "/>
    <x v="36"/>
    <x v="36"/>
    <s v="SENESCYT: visorgeografico"/>
    <n v="2017"/>
    <s v="Tasa x 1.000.000 hab."/>
    <n v="196.59415000000001"/>
    <n v="119.79895999999999"/>
    <n v="173.1917"/>
    <n v="91.172110000000004"/>
    <n v="154.82543000000001"/>
    <n v="61.094070000000002"/>
    <n v="56.604500000000002"/>
    <n v="52.425420000000003"/>
    <n v="39.802579999999999"/>
    <n v="87.23124"/>
    <n v="208.41494"/>
    <n v="204.91529"/>
    <n v="75.824269999999999"/>
    <n v="85.415180000000007"/>
    <n v="47.316479653913753"/>
    <n v="38.573920000000001"/>
    <n v="29.326370000000001"/>
    <n v="154.88543999999999"/>
    <n v="161.86085"/>
    <n v="33.99973"/>
    <n v="138.72842"/>
    <n v="109.43792999999999"/>
    <n v="61.549819999999997"/>
    <n v="78.801559999999995"/>
    <n v="138.72842"/>
    <n v="102.57459831891309"/>
    <n v="57.959778283143081"/>
    <n v="0.56505001465315252"/>
    <n v="0.98799999999999999"/>
    <n v="208.41494"/>
    <n v="29.326370000000001"/>
    <n v="7.1067418163243525"/>
    <n v="208.41494"/>
    <n v="93.399472674330923"/>
    <n v="50.518349663521235"/>
    <n v="80.331944132447987"/>
    <n v="34.533605355160304"/>
    <n v="70.076532522427314"/>
    <n v="17.738541326227576"/>
    <n v="15.231642086371005"/>
    <n v="12.898115161676706"/>
    <n v="5.8497368089990323"/>
    <n v="32.33309082762792"/>
    <n v="100"/>
    <n v="98.045855187743143"/>
    <n v="25.963633525020608"/>
    <n v="31.31903392829593"/>
    <n v="10.045370094760237"/>
    <n v="5.1636740412858293"/>
    <n v="0"/>
    <n v="70.110041081907113"/>
    <n v="74.00499093828266"/>
    <n v="2.6095244381034473"/>
    <n v="61.088236954485708"/>
    <n v="44.732927400112686"/>
    <n v="17.9930243454398"/>
    <n v="27.626101431263873"/>
    <n v="100"/>
    <n v="0"/>
    <n v="40.900560163562119"/>
    <n v="32.36375067551387"/>
    <n v="0.79127891026652486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</r>
  <r>
    <n v="2017"/>
    <x v="6"/>
    <n v="0.05"/>
    <e v="#N/A"/>
    <s v="Apoya "/>
    <x v="37"/>
    <x v="37"/>
    <s v="SENESCYT: visorgeografico"/>
    <n v="2017"/>
    <s v="Tasa x 1.000.000 hab."/>
    <n v="15.446680000000001"/>
    <n v="38.117849999999997"/>
    <n v="44.40813"/>
    <n v="30.390699999999999"/>
    <n v="50.154719999999998"/>
    <n v="19.5501"/>
    <n v="13.3187"/>
    <n v="9.3616799999999998"/>
    <n v="39.802579999999999"/>
    <n v="12.892670000000001"/>
    <n v="37.665349999999997"/>
    <n v="33.4101"/>
    <n v="8.9961000000000002"/>
    <n v="8.0304900000000004"/>
    <n v="20.278491280248751"/>
    <n v="28.930440000000001"/>
    <n v="7.3315900000000003"/>
    <n v="35.742789999999999"/>
    <n v="32.993220000000001"/>
    <n v="11.33324"/>
    <n v="45.582189999999997"/>
    <n v="43.775170000000003"/>
    <n v="6.4789300000000001"/>
    <n v="21.73836"/>
    <n v="45.582189999999997"/>
    <n v="25.655427970010361"/>
    <n v="14.278242768585949"/>
    <n v="0.55653886519750706"/>
    <n v="0.97299999999999998"/>
    <n v="50.154719999999998"/>
    <n v="6.4789300000000001"/>
    <n v="7.7412041803198983"/>
    <n v="50.154719999999998"/>
    <n v="20.53254217038776"/>
    <n v="72.440406916509119"/>
    <n v="86.842619217648959"/>
    <n v="54.748339984233816"/>
    <n v="100"/>
    <n v="29.927724260969295"/>
    <n v="15.660323488138395"/>
    <n v="6.6003385399554304"/>
    <n v="76.29776129979561"/>
    <n v="14.684886066170758"/>
    <n v="71.404363836349603"/>
    <n v="61.661552086407603"/>
    <n v="5.7633073151052336"/>
    <n v="3.5524486219940163"/>
    <n v="31.595447455555469"/>
    <n v="51.404931656645481"/>
    <n v="1.9522486027156012"/>
    <n v="67.002474368523153"/>
    <n v="60.707064485839879"/>
    <n v="11.11441830817485"/>
    <n v="89.530744607023706"/>
    <n v="85.393395288327952"/>
    <n v="0"/>
    <n v="34.937959908681677"/>
    <n v="100"/>
    <n v="0"/>
    <n v="43.906470770214717"/>
    <n v="32.69143561819017"/>
    <n v="0.74456987876072689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</r>
  <r>
    <n v="2017"/>
    <x v="6"/>
    <n v="0.05"/>
    <e v="#N/A"/>
    <s v="Apoya "/>
    <x v="38"/>
    <x v="38"/>
    <s v="Fuente: Encuesta Nacional de Ciencia y Tecnología 2012-2014, Convenio INEC-SENESCYT"/>
    <n v="2014"/>
    <s v="Tasa x 1.000.000 hab."/>
    <n v="1168.3309297358476"/>
    <n v="566.32233542618474"/>
    <n v="373.02827909620578"/>
    <n v="583.50149522258153"/>
    <n v="1275.6743083555577"/>
    <n v="202.83232120819639"/>
    <n v="462.82499721139612"/>
    <n v="194.72300652322073"/>
    <n v="3423.0218118134053"/>
    <n v="444.93418293268684"/>
    <n v="592.60152067576666"/>
    <n v="1764.0534027075546"/>
    <n v="227.47280286332997"/>
    <n v="354.07145673027787"/>
    <n v="412.32932269839125"/>
    <n v="964.34805249910801"/>
    <n v="505.87993782808883"/>
    <n v="1465.4545887791453"/>
    <n v="1903.1264762039323"/>
    <n v="259.15715613894713"/>
    <n v="554.32824383921218"/>
    <n v="373.99700802393579"/>
    <n v="281.4204996997521"/>
    <n v="1072.4916827175625"/>
    <n v="45.582189999999997"/>
    <n v="809.41357578876205"/>
    <n v="745.61491577587503"/>
    <n v="0.92117915745270751"/>
    <m/>
    <n v="3423.0218118134053"/>
    <n v="194.72300652322073"/>
    <n v="17.578928514567743"/>
    <n v="3423.0218118134053"/>
    <n v="30.15854423441796"/>
    <n v="11.510685699044569"/>
    <n v="5.523196064775596"/>
    <n v="12.042828503429511"/>
    <n v="33.483619919599505"/>
    <n v="0.25119467478310853"/>
    <n v="8.3047452190249267"/>
    <n v="0"/>
    <n v="100"/>
    <n v="7.7505581577345719"/>
    <n v="12.324711501319081"/>
    <n v="48.6116834542294"/>
    <n v="1.0144598847678674"/>
    <n v="4.9359882655823011"/>
    <n v="6.7405878234871253"/>
    <n v="23.839956967883815"/>
    <n v="9.6384179430658019"/>
    <n v="39.362266596065645"/>
    <n v="52.919620292928457"/>
    <n v="1.9959165338146123"/>
    <n v="11.139155914771875"/>
    <n v="5.5532034769191858"/>
    <n v="2.6855473549865008"/>
    <n v="27.189821300182931"/>
    <n v="100"/>
    <n v="0"/>
    <n v="19.040696240950599"/>
    <n v="23.096217566789129"/>
    <n v="1.212992281086674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</r>
  <r>
    <n v="2017"/>
    <x v="7"/>
    <n v="0.1"/>
    <n v="0.25"/>
    <s v="Apoya "/>
    <x v="39"/>
    <x v="39"/>
    <s v="Coordinación de Estudios Macroecoónicos MIPRO - SRI Formulario 101 y 102"/>
    <n v="2016"/>
    <s v="%"/>
    <n v="1.2999999999999999E-2"/>
    <n v="8.9999999999999993E-3"/>
    <n v="7.6E-3"/>
    <n v="2.76E-2"/>
    <n v="8.2000000000000007E-3"/>
    <n v="6.7000000000000004E-2"/>
    <n v="2.24E-2"/>
    <n v="1.2E-2"/>
    <n v="2.6100000000000002E-2"/>
    <n v="1.6500000000000001E-2"/>
    <n v="4.4999999999999998E-2"/>
    <n v="1.6999999999999999E-3"/>
    <n v="2.86E-2"/>
    <n v="1.72E-2"/>
    <n v="4.3E-3"/>
    <n v="1.1299999999999999E-2"/>
    <n v="2.8E-3"/>
    <n v="5.1999999999999998E-3"/>
    <n v="2.81E-2"/>
    <n v="1.6999999999999999E-3"/>
    <n v="1.5599999999999999E-2"/>
    <n v="1.6999999999999999E-3"/>
    <n v="1.7500000000000002E-2"/>
    <n v="2.4E-2"/>
    <n v="1.5599999999999999E-2"/>
    <n v="1.7254166666666668E-2"/>
    <n v="1.5214094699857494E-2"/>
    <n v="0.88176351798256425"/>
    <n v="0.45159614208764581"/>
    <n v="6.7000000000000004E-2"/>
    <n v="1.6999999999999999E-3"/>
    <n v="39.411764705882355"/>
    <n v="6.7000000000000004E-2"/>
    <n v="17.304747320061249"/>
    <n v="11.179173047473197"/>
    <n v="9.0352220520673789"/>
    <n v="39.663093415007651"/>
    <n v="9.9540581929555891"/>
    <n v="100"/>
    <n v="31.699846860643177"/>
    <n v="15.773353751914239"/>
    <n v="37.366003062787136"/>
    <n v="22.664624808575802"/>
    <n v="66.309341500765683"/>
    <n v="0"/>
    <n v="41.194486983154668"/>
    <n v="23.73660030627871"/>
    <n v="3.9816232771822349"/>
    <n v="14.701378254211328"/>
    <n v="1.6845329249617149"/>
    <n v="5.3598774885145462"/>
    <n v="40.428790199081156"/>
    <n v="0"/>
    <n v="21.286370597243486"/>
    <n v="0"/>
    <n v="24.196018376722815"/>
    <n v="34.150076569678397"/>
    <n v="100"/>
    <n v="0"/>
    <n v="23.819550791220006"/>
    <n v="23.298766768541341"/>
    <n v="0.97813627858714158"/>
    <n v="0.43261868300153128"/>
    <n v="0.27947932618682997"/>
    <n v="0.2258805513016845"/>
    <n v="0.99157733537519133"/>
    <n v="0.24885145482388973"/>
    <n v="2.5"/>
    <n v="0.79249617151607943"/>
    <n v="0.39433384379785602"/>
    <n v="0.93415007656967841"/>
    <n v="0.56661562021439504"/>
    <n v="1.6577335375191422"/>
    <n v="0"/>
    <n v="1.0298621745788668"/>
    <n v="0.59341500765696775"/>
    <n v="9.954058192955588E-2"/>
    <n v="0.3675344563552832"/>
    <n v="4.2113323124042874E-2"/>
    <n v="0.13399693721286365"/>
    <n v="1.010719754977029"/>
    <n v="0"/>
    <n v="0.53215926493108723"/>
    <n v="0"/>
    <n v="0.60490045941807047"/>
    <n v="0.85375191424195995"/>
    <n v="2.5"/>
    <n v="4.3261868300153123"/>
    <n v="2.7947932618682993"/>
    <n v="2.2588055130168447"/>
    <n v="9.9157733537519128"/>
    <n v="2.4885145482388973"/>
    <n v="25"/>
    <n v="7.9249617151607943"/>
    <n v="3.9433384379785599"/>
    <n v="9.3415007656967841"/>
    <n v="5.6661562021439504"/>
    <n v="16.577335375191421"/>
    <n v="0"/>
    <n v="10.298621745788667"/>
    <n v="5.9341500765696775"/>
    <n v="0.99540581929555871"/>
    <n v="3.6753445635528319"/>
    <n v="0.42113323124042873"/>
    <n v="1.3399693721286365"/>
    <n v="10.107197549770289"/>
    <n v="0"/>
    <n v="5.3215926493108716"/>
    <n v="0"/>
    <n v="6.0490045941807038"/>
    <n v="8.5375191424195993"/>
    <m/>
  </r>
  <r>
    <n v="2017"/>
    <x v="7"/>
    <n v="0.1"/>
    <n v="0.25"/>
    <s v="Apoya "/>
    <x v="40"/>
    <x v="40"/>
    <s v="https://declaraciones.sri.gob.ec/saiku-ui/_x000a_En cubo (declaraciones 101)/ En Dimensiones (Año Fiscal) / En medidas (Exportaciones Netas 603)"/>
    <n v="2016"/>
    <s v="%"/>
    <n v="1.67E-2"/>
    <n v="1E-4"/>
    <n v="1.2999999999999999E-3"/>
    <n v="5.0000000000000001E-4"/>
    <n v="1E-4"/>
    <n v="6.4999999999999997E-3"/>
    <n v="6.0400000000000002E-2"/>
    <n v="3.8E-3"/>
    <n v="3.8999999999999998E-3"/>
    <n v="0.39389999999999997"/>
    <n v="2.3999999999999998E-3"/>
    <n v="1E-4"/>
    <n v="1.23E-2"/>
    <n v="6.6799999999999998E-2"/>
    <n v="3.1379999717266923E-6"/>
    <n v="1E-4"/>
    <n v="8.2797076171284988E-6"/>
    <n v="9.3061942988930169E-6"/>
    <n v="0.41460000000000002"/>
    <n v="3.1379999717266923E-6"/>
    <n v="3.0999999999999999E-3"/>
    <n v="1E-4"/>
    <n v="2E-3"/>
    <n v="1.12E-2"/>
    <n v="3.0999999999999999E-3"/>
    <n v="4.1663494245910808E-2"/>
    <n v="0.11308890848396112"/>
    <n v="2.7143404683360322"/>
    <n v="0.5629610867769882"/>
    <n v="0.41460000000000002"/>
    <n v="3.1379999717266923E-6"/>
    <n v="132122.37212732201"/>
    <n v="0.41460000000000002"/>
    <n v="4.0272523818636943"/>
    <n v="2.3362936120888127E-2"/>
    <n v="0.31280072737940418"/>
    <n v="0.11984219987372684"/>
    <n v="2.3362936120888127E-2"/>
    <n v="1.5670311561663073"/>
    <n v="14.567611946861323"/>
    <n v="0.91579612583464598"/>
    <n v="0.93991594177285576"/>
    <n v="95.007198100790575"/>
    <n v="0.57811870269971055"/>
    <n v="2.3362936120888127E-2"/>
    <n v="2.9659804805824681"/>
    <n v="16.111280166906738"/>
    <n v="0"/>
    <n v="2.3362936120888127E-2"/>
    <n v="1.2401704201517704E-3"/>
    <n v="1.4877571184236081E-3"/>
    <n v="100"/>
    <n v="0"/>
    <n v="0.74695741426717832"/>
    <n v="2.3362936120888127E-2"/>
    <n v="0.48163943894687195"/>
    <n v="2.7006625052621618"/>
    <n v="100"/>
    <n v="0"/>
    <n v="10.048401245722944"/>
    <n v="27.276836572861804"/>
    <n v="2.7145449217080242"/>
    <n v="0.10068130954659237"/>
    <n v="5.8407340302220323E-4"/>
    <n v="7.820018184485104E-3"/>
    <n v="2.9960549968431711E-3"/>
    <n v="5.8407340302220323E-4"/>
    <n v="3.9175778904157688E-2"/>
    <n v="0.36419029867153307"/>
    <n v="2.289490314586615E-2"/>
    <n v="2.3497898544321397E-2"/>
    <n v="2.3751799525197645"/>
    <n v="1.4452967567492765E-2"/>
    <n v="5.8407340302220323E-4"/>
    <n v="7.41495120145617E-2"/>
    <n v="0.40278200417266846"/>
    <n v="0"/>
    <n v="5.8407340302220323E-4"/>
    <n v="3.100426050379426E-5"/>
    <n v="3.7193927960590206E-5"/>
    <n v="2.5"/>
    <n v="0"/>
    <n v="1.8673935356679459E-2"/>
    <n v="5.8407340302220323E-4"/>
    <n v="1.20409859736718E-2"/>
    <n v="6.7516562631554047E-2"/>
    <n v="2.5"/>
    <n v="1.0068130954659236"/>
    <n v="5.8407340302220317E-3"/>
    <n v="7.8200181844851044E-2"/>
    <n v="2.9960549968431709E-2"/>
    <n v="5.8407340302220317E-3"/>
    <n v="0.39175778904157682"/>
    <n v="3.6419029867153307"/>
    <n v="0.22894903145866149"/>
    <n v="0.23497898544321394"/>
    <n v="23.751799525197644"/>
    <n v="0.14452967567492764"/>
    <n v="5.8407340302220317E-3"/>
    <n v="0.74149512014561703"/>
    <n v="4.0278200417266845"/>
    <n v="0"/>
    <n v="5.8407340302220317E-3"/>
    <n v="3.1004260503794261E-4"/>
    <n v="3.7193927960590202E-4"/>
    <n v="25"/>
    <n v="0"/>
    <n v="0.18673935356679458"/>
    <n v="5.8407340302220317E-3"/>
    <n v="0.12040985973671799"/>
    <n v="0.67516562631554045"/>
    <m/>
  </r>
  <r>
    <n v="2017"/>
    <x v="7"/>
    <n v="0.1"/>
    <n v="0.25"/>
    <s v="Apoya "/>
    <x v="41"/>
    <x v="41"/>
    <s v="http://appscvs.supercias.gob.ec/portalInformacion/sector_societario.zul_x000a__x000a_Inversión de extrajeros por país"/>
    <n v="2016"/>
    <s v="$"/>
    <n v="0.52"/>
    <m/>
    <m/>
    <n v="0.23"/>
    <n v="0.01"/>
    <n v="0.46"/>
    <n v="0.45"/>
    <n v="8.42"/>
    <n v="0.02"/>
    <n v="5.68"/>
    <n v="2.7"/>
    <n v="0"/>
    <n v="0.32"/>
    <n v="0.27"/>
    <m/>
    <m/>
    <n v="0.01"/>
    <n v="0"/>
    <n v="42.49"/>
    <n v="0.02"/>
    <n v="1.71"/>
    <n v="0.02"/>
    <n v="0.65"/>
    <n v="0.33"/>
    <n v="862243"/>
    <n v="3.2155"/>
    <n v="9.4963419411454364"/>
    <n v="2.9533018010093102"/>
    <n v="0.5629610867769882"/>
    <n v="42.49"/>
    <n v="0"/>
    <e v="#DIV/0!"/>
    <n v="42.49"/>
    <n v="1.2238173687926572"/>
    <n v="0"/>
    <n v="0"/>
    <n v="0.54130383619675226"/>
    <n v="2.3534949399858791E-2"/>
    <n v="1.0826076723935045"/>
    <n v="1.0590727229936454"/>
    <n v="19.816427394681099"/>
    <n v="4.7069898799717583E-2"/>
    <n v="13.367851259119792"/>
    <n v="6.3544363379618733"/>
    <n v="0"/>
    <n v="0.75311838079548132"/>
    <n v="0.6354436337961874"/>
    <n v="0"/>
    <n v="0"/>
    <n v="2.3534949399858791E-2"/>
    <n v="0"/>
    <n v="100"/>
    <n v="4.7069898799717583E-2"/>
    <n v="4.0244763473758525"/>
    <n v="4.7069898799717583E-2"/>
    <n v="1.5297717109908213"/>
    <n v="0.77665333019534011"/>
    <n v="100"/>
    <n v="0"/>
    <n v="6.3063858162704944"/>
    <n v="20.516674023822109"/>
    <n v="3.2533172916393776"/>
    <n v="3.0595434219816434E-2"/>
    <n v="0"/>
    <n v="0"/>
    <n v="1.3532595904918808E-2"/>
    <n v="5.8837373499646983E-4"/>
    <n v="2.7065191809837616E-2"/>
    <n v="2.6476818074841136E-2"/>
    <n v="0.4954106848670275"/>
    <n v="1.1767474699929397E-3"/>
    <n v="0.33419628147799485"/>
    <n v="0.15886090844904685"/>
    <n v="0"/>
    <n v="1.8827959519887034E-2"/>
    <n v="1.5886090844904686E-2"/>
    <n v="0"/>
    <n v="0"/>
    <n v="5.8837373499646983E-4"/>
    <n v="0"/>
    <n v="2.5"/>
    <n v="1.1767474699929397E-3"/>
    <n v="0.10061190868439632"/>
    <n v="1.1767474699929397E-3"/>
    <n v="3.8244292774770539E-2"/>
    <n v="1.9416333254883504E-2"/>
    <n v="2.5"/>
    <n v="0.30595434219816431"/>
    <n v="0"/>
    <n v="0"/>
    <n v="0.13532595904918807"/>
    <n v="5.8837373499646978E-3"/>
    <n v="0.27065191809837613"/>
    <n v="0.26476818074841135"/>
    <n v="4.9541068486702748"/>
    <n v="1.1767474699929396E-2"/>
    <n v="3.3419628147799481"/>
    <n v="1.5886090844904683"/>
    <n v="0"/>
    <n v="0.18827959519887033"/>
    <n v="0.15886090844904685"/>
    <n v="0"/>
    <n v="0"/>
    <n v="5.8837373499646978E-3"/>
    <n v="0"/>
    <n v="25"/>
    <n v="1.1767474699929396E-2"/>
    <n v="1.0061190868439631"/>
    <n v="1.1767474699929396E-2"/>
    <n v="0.38244292774770533"/>
    <n v="0.19416333254883503"/>
    <m/>
  </r>
  <r>
    <n v="2017"/>
    <x v="7"/>
    <n v="0.1"/>
    <n v="0.25"/>
    <s v="Apoya "/>
    <x v="42"/>
    <x v="42"/>
    <s v="https://declaraciones.sri.gob.ec/saiku-ui/_x000a_En cubo (declaraciones 101)/ En Dimensiones (Año Fiscal) / En medidas (Exportaciones Netas 603)_x000a_Adicionalmente usar los datos de población por provincia"/>
    <n v="2016"/>
    <s v="Per Cápita"/>
    <n v="396.97"/>
    <n v="10.67"/>
    <n v="97.38"/>
    <n v="55.61"/>
    <n v="4.68"/>
    <n v="290.52999999999997"/>
    <n v="1732.06"/>
    <n v="133.19999999999999"/>
    <n v="3122.89"/>
    <n v="1962.41"/>
    <n v="114.82"/>
    <n v="4.63"/>
    <n v="303.7"/>
    <n v="918.03"/>
    <n v="0.38"/>
    <n v="18.920000000000002"/>
    <n v="1.1000000000000001"/>
    <n v="2.1800000000000002"/>
    <n v="2772.5"/>
    <n v="0.31757855468936824"/>
    <n v="119.12"/>
    <n v="26.47"/>
    <n v="282.92"/>
    <n v="513.49"/>
    <n v="119.12"/>
    <n v="536.87406577311208"/>
    <n v="907.7518071889881"/>
    <n v="1.6908095679417905"/>
    <n v="0.97"/>
    <n v="3122.89"/>
    <n v="0.31757855468936824"/>
    <n v="9833.4410617070134"/>
    <n v="3122.89"/>
    <n v="12.702745298112783"/>
    <n v="0.33153503099597997"/>
    <n v="3.1084121789682762"/>
    <n v="1.770733036184251"/>
    <n v="0.1397060133930039"/>
    <n v="9.2940173125266767"/>
    <n v="55.458839306720009"/>
    <n v="4.2555432992585267"/>
    <n v="100"/>
    <n v="62.835769891836136"/>
    <n v="3.6669260465802802"/>
    <n v="0.13810476950650161"/>
    <n v="9.7157849522313846"/>
    <n v="29.3896280881306"/>
    <n v="1.9990391538057409E-3"/>
    <n v="0.59574027226886017"/>
    <n v="2.5056951119438925E-2"/>
    <n v="5.9643819067888695E-2"/>
    <n v="88.778803092169156"/>
    <n v="0"/>
    <n v="3.8046330208194785"/>
    <n v="0.83752809913070803"/>
    <n v="9.0503079930010273"/>
    <n v="16.434284051217755"/>
    <n v="100"/>
    <n v="0"/>
    <n v="17.183155898433021"/>
    <n v="29.070640634455707"/>
    <n v="1.6918103290389594"/>
    <n v="0.31756863245281958"/>
    <n v="8.2883757748994993E-3"/>
    <n v="7.7710304474206904E-2"/>
    <n v="4.4268325904606276E-2"/>
    <n v="3.4926503348250977E-3"/>
    <n v="0.23235043281316692"/>
    <n v="1.3864709826680004"/>
    <n v="0.10638858248146317"/>
    <n v="2.5"/>
    <n v="1.5708942472959035"/>
    <n v="9.1673151164507014E-2"/>
    <n v="3.4526192376625403E-3"/>
    <n v="0.24289462380578464"/>
    <n v="0.73474070220326504"/>
    <n v="4.9975978845143525E-5"/>
    <n v="1.4893506806721505E-2"/>
    <n v="6.2642377798597315E-4"/>
    <n v="1.4910954766972175E-3"/>
    <n v="2.2194700773042291"/>
    <n v="0"/>
    <n v="9.5115825520486974E-2"/>
    <n v="2.0938202478267703E-2"/>
    <n v="0.22625769982502569"/>
    <n v="0.41085710128044389"/>
    <n v="2.5"/>
    <n v="3.1756863245281957"/>
    <n v="8.2883757748994993E-2"/>
    <n v="0.77710304474206904"/>
    <n v="0.44268325904606276"/>
    <n v="3.4926503348250974E-2"/>
    <n v="2.3235043281316692"/>
    <n v="13.864709826680002"/>
    <n v="1.0638858248146317"/>
    <n v="25"/>
    <n v="15.708942472959034"/>
    <n v="0.91673151164507005"/>
    <n v="3.4526192376625402E-2"/>
    <n v="2.4289462380578462"/>
    <n v="7.3474070220326499"/>
    <n v="4.9975978845143523E-4"/>
    <n v="0.14893506806721504"/>
    <n v="6.2642377798597312E-3"/>
    <n v="1.4910954766972174E-2"/>
    <n v="22.194700773042289"/>
    <n v="0"/>
    <n v="0.95115825520486963"/>
    <n v="0.20938202478267701"/>
    <n v="2.2625769982502568"/>
    <n v="4.1085710128044388"/>
    <m/>
  </r>
  <r>
    <n v="2017"/>
    <x v="8"/>
    <n v="0.1"/>
    <n v="0.1111111111111111"/>
    <s v="Apoya "/>
    <x v="43"/>
    <x v="43"/>
    <s v="http://www.superbancos.gob.ec/practg/sbs_index?vp_art_id=5036&amp;vp_tip=2&amp;vp_buscr=41#10_x000a__x000a_CAPCOL BANCOS AÑO 2017/ Captaciones Bancos "/>
    <n v="2017"/>
    <s v="%"/>
    <n v="6.7000000000000004E-2"/>
    <n v="1.8E-3"/>
    <n v="9.2999999999999992E-3"/>
    <n v="2.3999999999999998E-3"/>
    <n v="1.0999999999999999E-2"/>
    <n v="7.3000000000000001E-3"/>
    <n v="2.9899999999999999E-2"/>
    <n v="7.4000000000000003E-3"/>
    <n v="1.4E-3"/>
    <n v="0.26369999999999999"/>
    <n v="1.4500000000000001E-2"/>
    <n v="1.66E-2"/>
    <n v="1.3299999999999999E-2"/>
    <n v="3.1199999999999999E-2"/>
    <n v="8.9999999999999998E-4"/>
    <n v="8.0000000000000004E-4"/>
    <n v="2.5999999999999999E-3"/>
    <n v="1.1999999999999999E-3"/>
    <n v="0.4718"/>
    <n v="3.0999999999999999E-3"/>
    <n v="2.4799999999999999E-2"/>
    <n v="1E-3"/>
    <n v="4.4000000000000003E-3"/>
    <n v="1.2699999999999999E-2"/>
    <n v="2.4799999999999999E-2"/>
    <n v="4.1670833333333331E-2"/>
    <n v="0.10603927278696514"/>
    <n v="2.5446880780793557"/>
    <e v="#REF!"/>
    <n v="0.4718"/>
    <n v="8.0000000000000004E-4"/>
    <n v="589.75"/>
    <n v="0.4718"/>
    <n v="14.055201698513804"/>
    <n v="0.21231422505307856"/>
    <n v="1.8046709129511678"/>
    <n v="0.33970276008492567"/>
    <n v="2.1656050955414012"/>
    <n v="1.3800424628450108"/>
    <n v="6.1783439490445868"/>
    <n v="1.4012738853503186"/>
    <n v="0.12738853503184713"/>
    <n v="55.817409766454354"/>
    <n v="2.9087048832271765"/>
    <n v="3.3545647558386418"/>
    <n v="2.6539278131634818"/>
    <n v="6.4543524416135885"/>
    <n v="2.1231422505307844E-2"/>
    <n v="0"/>
    <n v="0.38216560509554143"/>
    <n v="8.492569002123139E-2"/>
    <n v="100"/>
    <n v="0.48832271762208068"/>
    <n v="5.095541401273886"/>
    <n v="4.2462845010615709E-2"/>
    <n v="0.76433121019108285"/>
    <n v="2.5265392781316347"/>
    <n v="100"/>
    <n v="0"/>
    <n v="8.6774593064401984"/>
    <n v="22.513646026956504"/>
    <n v="2.5944974481467664"/>
    <n v="0.15616890776126449"/>
    <n v="2.3590469450342063E-3"/>
    <n v="2.0051899032790754E-2"/>
    <n v="3.7744751120547294E-3"/>
    <n v="2.4062278839348902E-2"/>
    <n v="1.5333805142722342E-2"/>
    <n v="6.8648266100495403E-2"/>
    <n v="1.5569709837225762E-2"/>
    <n v="1.4154281670205238E-3"/>
    <n v="0.62019344184949277"/>
    <n v="3.2318943146968628E-2"/>
    <n v="3.7272941731540464E-2"/>
    <n v="2.9488086812927576E-2"/>
    <n v="7.1715027129039877E-2"/>
    <n v="2.3590469450342051E-4"/>
    <n v="0"/>
    <n v="4.2462845010615719E-3"/>
    <n v="9.4361877801368203E-4"/>
    <n v="1.1111111111111112"/>
    <n v="5.4258079735786746E-3"/>
    <n v="5.6617126680820959E-2"/>
    <n v="4.7180938900684118E-4"/>
    <n v="8.4925690021231438E-3"/>
    <n v="2.807265864590705E-2"/>
    <n v="1.1111111111111112"/>
    <n v="1.5616890776126446"/>
    <n v="2.3590469450342062E-2"/>
    <n v="0.20051899032790751"/>
    <n v="3.7744751120547294E-2"/>
    <n v="0.24062278839348902"/>
    <n v="0.1533380514272234"/>
    <n v="0.68648266100495403"/>
    <n v="0.15569709837225762"/>
    <n v="1.4154281670205236E-2"/>
    <n v="6.2019344184949281"/>
    <n v="0.32318943146968626"/>
    <n v="0.3727294173154046"/>
    <n v="0.29488086812927572"/>
    <n v="0.71715027129039866"/>
    <n v="2.3590469450342046E-3"/>
    <n v="0"/>
    <n v="4.2462845010615709E-2"/>
    <n v="9.4361877801368201E-3"/>
    <n v="11.111111111111111"/>
    <n v="5.4258079735786738E-2"/>
    <n v="0.56617126680820951"/>
    <n v="4.7180938900684118E-3"/>
    <n v="8.4925690021231418E-2"/>
    <n v="0.2807265864590705"/>
    <m/>
  </r>
  <r>
    <n v="2017"/>
    <x v="8"/>
    <n v="0.1"/>
    <n v="0.1111111111111111"/>
    <s v="Apoya "/>
    <x v="44"/>
    <x v="44"/>
    <s v="https://datalab.asobanca.org.ec/datalab/resources/site/index.html?QlikTicket=CurPQlA6TBSJQJ3i#_x000a__x000a_Volumen de crédito/ Base de datos- Volumen"/>
    <n v="2017"/>
    <s v="%"/>
    <n v="5.6899999999999999E-2"/>
    <n v="1.9E-3"/>
    <n v="2.5000000000000001E-3"/>
    <n v="5.0000000000000001E-4"/>
    <n v="6.7000000000000002E-3"/>
    <n v="7.7999999999999996E-3"/>
    <n v="2.3E-2"/>
    <n v="3.8999999999999998E-3"/>
    <n v="2.0000000000000001E-4"/>
    <n v="0.35849999999999999"/>
    <n v="2.1999999999999999E-2"/>
    <n v="9.4000000000000004E-3"/>
    <n v="1.2500000000000001E-2"/>
    <n v="3.8699999999999998E-2"/>
    <n v="1.1000000000000001E-3"/>
    <n v="8.0000000000000004E-4"/>
    <n v="2.2000000000000001E-3"/>
    <n v="5.7000000000000002E-3"/>
    <n v="0.3906"/>
    <n v="2.8999999999999998E-3"/>
    <n v="3.1E-2"/>
    <n v="1.1000000000000001E-3"/>
    <n v="4.0000000000000001E-3"/>
    <n v="1.6E-2"/>
    <n v="3.1E-2"/>
    <n v="4.1662500000000005E-2"/>
    <n v="0.10359580238474496"/>
    <n v="2.4865479120250811"/>
    <e v="#REF!"/>
    <n v="0.3906"/>
    <n v="2.0000000000000001E-4"/>
    <n v="1953"/>
    <n v="0.3906"/>
    <n v="14.523565573770492"/>
    <n v="0.43545081967213112"/>
    <n v="0.58913934426229508"/>
    <n v="7.6844262295081969E-2"/>
    <n v="1.6649590163934427"/>
    <n v="1.9467213114754096"/>
    <n v="5.8401639344262293"/>
    <n v="0.94774590163934413"/>
    <n v="0"/>
    <n v="91.777663934426229"/>
    <n v="5.5840163934426226"/>
    <n v="2.3565573770491803"/>
    <n v="3.1506147540983602"/>
    <n v="9.8616803278688518"/>
    <n v="0.23053278688524589"/>
    <n v="0.15368852459016394"/>
    <n v="0.51229508196721307"/>
    <n v="1.408811475409836"/>
    <n v="100"/>
    <n v="0.69159836065573765"/>
    <n v="7.889344262295082"/>
    <n v="0.23053278688524589"/>
    <n v="0.97336065573770481"/>
    <n v="4.0471311475409841"/>
    <n v="100"/>
    <n v="0"/>
    <n v="10.620517418032788"/>
    <n v="26.535810037076065"/>
    <n v="2.4985421135904717"/>
    <n v="0.16137295081967215"/>
    <n v="4.8383424408014568E-3"/>
    <n v="6.5459927140255007E-3"/>
    <n v="8.5382513661202194E-4"/>
    <n v="1.8499544626593808E-2"/>
    <n v="2.1630236794171219E-2"/>
    <n v="6.489071038251365E-2"/>
    <n v="1.0530510018214935E-2"/>
    <n v="0"/>
    <n v="1.0197518214936248"/>
    <n v="6.2044626593806912E-2"/>
    <n v="2.6183970856102003E-2"/>
    <n v="3.5006830601092893E-2"/>
    <n v="0.10957422586520947"/>
    <n v="2.5614754098360654E-3"/>
    <n v="1.7076502732240439E-3"/>
    <n v="5.6921675774134787E-3"/>
    <n v="1.5653460837887066E-2"/>
    <n v="1.1111111111111112"/>
    <n v="7.6844262295081966E-3"/>
    <n v="8.7659380692167582E-2"/>
    <n v="2.5614754098360654E-3"/>
    <n v="1.0815118397085609E-2"/>
    <n v="4.496812386156649E-2"/>
    <n v="1.1111111111111112"/>
    <n v="1.6137295081967213"/>
    <n v="4.8383424408014568E-2"/>
    <n v="6.5459927140255003E-2"/>
    <n v="8.5382513661202177E-3"/>
    <n v="0.18499544626593806"/>
    <n v="0.21630236794171218"/>
    <n v="0.6489071038251365"/>
    <n v="0.10530510018214934"/>
    <n v="0"/>
    <n v="10.197518214936247"/>
    <n v="0.62044626593806917"/>
    <n v="0.26183970856102001"/>
    <n v="0.35006830601092892"/>
    <n v="1.0957422586520946"/>
    <n v="2.5614754098360653E-2"/>
    <n v="1.7076502732240435E-2"/>
    <n v="5.6921675774134782E-2"/>
    <n v="0.15653460837887065"/>
    <n v="11.111111111111111"/>
    <n v="7.6844262295081955E-2"/>
    <n v="0.87659380692167577"/>
    <n v="2.5614754098360653E-2"/>
    <n v="0.10815118397085609"/>
    <n v="0.44968123861566489"/>
    <m/>
  </r>
  <r>
    <n v="2017"/>
    <x v="8"/>
    <n v="0.1"/>
    <n v="0.1111111111111111"/>
    <s v="Apoya "/>
    <x v="45"/>
    <x v="45"/>
    <s v="https://datalab.asobanca.org.ec/datalab/resources/site/index.html?QlikTicket=CurPQlA6TBSJQJ3i#_x000a__x000a_Volumen de crédito/ Base de datos- Volumen"/>
    <n v="2017"/>
    <s v="Dólares per cápita"/>
    <n v="2632.6857473456275"/>
    <n v="278.09048186407176"/>
    <n v="1159.1088321550371"/>
    <n v="413.45672369988586"/>
    <n v="668.77068779561307"/>
    <n v="498.31119683288318"/>
    <n v="1394.5452866102066"/>
    <n v="388.34971308313925"/>
    <n v="1539.8524152205059"/>
    <n v="2025.370596096594"/>
    <n v="1017.5793704111048"/>
    <n v="1035.2089977414769"/>
    <n v="479.05954006798481"/>
    <n v="637.67266241294215"/>
    <n v="163.99688887386779"/>
    <n v="206.81433339440872"/>
    <n v="540.67263145546781"/>
    <n v="387.1252811170815"/>
    <n v="5126.7758427147273"/>
    <n v="401.39254327114651"/>
    <n v="963.18002942830833"/>
    <n v="486.16306847545206"/>
    <n v="1377.1310351517986"/>
    <n v="299.62893746716861"/>
    <n v="1578.21"/>
    <n v="1005.0392851119377"/>
    <n v="1071.2682273922494"/>
    <n v="1.0658968691685871"/>
    <e v="#REF!"/>
    <n v="5126.7758427147273"/>
    <n v="163.99688887386779"/>
    <n v="31.261421347192748"/>
    <n v="5126.7758427147273"/>
    <n v="49.744082527817596"/>
    <n v="2.2989859925536908"/>
    <n v="20.051506475238419"/>
    <n v="5.026615876835554"/>
    <n v="10.171192463268671"/>
    <n v="6.7364335802278363"/>
    <n v="24.795551226072167"/>
    <n v="4.5207095922665941"/>
    <n v="27.723489987032725"/>
    <n v="37.506681730850552"/>
    <n v="17.199687704740935"/>
    <n v="17.554924709941979"/>
    <n v="6.3485126805875485"/>
    <n v="9.5445672262408721"/>
    <n v="0"/>
    <n v="0.86277154229089903"/>
    <n v="7.5900165227000116"/>
    <n v="4.4960372871438743"/>
    <n v="100"/>
    <n v="4.7835226312779922"/>
    <n v="16.103540939213627"/>
    <n v="6.4916487838381194"/>
    <n v="24.444654044868265"/>
    <n v="2.7329858906637514"/>
    <n v="100"/>
    <n v="0"/>
    <n v="16.947004975652991"/>
    <n v="21.586055662687929"/>
    <n v="1.273738674987094"/>
    <n v="0.55271202808686226"/>
    <n v="2.5544288806152119E-2"/>
    <n v="0.22279451639153799"/>
    <n v="5.5851287520395039E-2"/>
    <n v="0.11301324959187413"/>
    <n v="7.4849262002531516E-2"/>
    <n v="0.27550612473413516"/>
    <n v="5.0230106580739932E-2"/>
    <n v="0.30803877763369691"/>
    <n v="0.41674090812056169"/>
    <n v="0.19110764116378817"/>
    <n v="0.19505471899935531"/>
    <n v="7.0539029784306095E-2"/>
    <n v="0.10605074695823191"/>
    <n v="0"/>
    <n v="9.5863504698988789E-3"/>
    <n v="8.4333516918889018E-2"/>
    <n v="4.9955969857154163E-2"/>
    <n v="1.1111111111111112"/>
    <n v="5.3150251458644354E-2"/>
    <n v="0.17892823265792918"/>
    <n v="7.2129430931534663E-2"/>
    <n v="0.27160726716520295"/>
    <n v="3.0366509896263907E-2"/>
    <n v="1.1111111111111112"/>
    <n v="5.5271202808686217"/>
    <n v="0.25544288806152121"/>
    <n v="2.2279451639153796"/>
    <n v="0.55851287520395043"/>
    <n v="1.1301324959187411"/>
    <n v="0.74849262002531514"/>
    <n v="2.7550612473413518"/>
    <n v="0.50230106580739931"/>
    <n v="3.0803877763369694"/>
    <n v="4.1674090812056166"/>
    <n v="1.9110764116378816"/>
    <n v="1.9505471899935531"/>
    <n v="0.70539029784306095"/>
    <n v="1.0605074695823191"/>
    <n v="0"/>
    <n v="9.5863504698988772E-2"/>
    <n v="0.84333516918889018"/>
    <n v="0.49955969857154159"/>
    <n v="11.111111111111111"/>
    <n v="0.5315025145864436"/>
    <n v="1.7892823265792916"/>
    <n v="0.72129430931534655"/>
    <n v="2.7160726716520291"/>
    <n v="0.30366509896263905"/>
    <m/>
  </r>
  <r>
    <n v="2017"/>
    <x v="8"/>
    <n v="0.1"/>
    <n v="0.1111111111111111"/>
    <s v="Apoya "/>
    <x v="46"/>
    <x v="46"/>
    <s v="https://datalab.asobanca.org.ec/datalab/resources/site/index.html?QlikTicket=CurPQlA6TBSJQJ3i#_x000a__x000a_Volumen de crédito/ Base de datos- Volumen"/>
    <n v="2017"/>
    <s v="%"/>
    <n v="0.80930000000000002"/>
    <n v="7.8600000000000003E-2"/>
    <n v="0.32769999999999999"/>
    <n v="0.125"/>
    <n v="0.27039999999999997"/>
    <n v="0.30159999999999998"/>
    <n v="0.59399999999999997"/>
    <n v="0.2407"/>
    <n v="0.68969999999999998"/>
    <n v="0.84699999999999998"/>
    <n v="0.64319999999999999"/>
    <n v="0.3795"/>
    <n v="0.52900000000000003"/>
    <n v="0.61380000000000001"/>
    <n v="0.15340000000000001"/>
    <n v="7.9000000000000008E-3"/>
    <n v="0.34329999999999999"/>
    <n v="0.90129999999999999"/>
    <n v="0.7571"/>
    <n v="0.3861"/>
    <n v="0.75080000000000002"/>
    <n v="0.29670000000000002"/>
    <n v="0.2364"/>
    <n v="0.59179999999999999"/>
    <n v="0.75080000000000002"/>
    <n v="0.45309583333333331"/>
    <n v="0.26153633462620479"/>
    <n v="0.57722078947876321"/>
    <e v="#REF!"/>
    <n v="0.90129999999999999"/>
    <n v="7.9000000000000008E-3"/>
    <n v="114.08860759493669"/>
    <n v="0.90129999999999999"/>
    <n v="89.702261025296622"/>
    <n v="7.9135885381687938"/>
    <n v="35.795836131631965"/>
    <n v="13.107230803671369"/>
    <n v="29.382135661517793"/>
    <n v="32.874412357286765"/>
    <n v="65.603313185583161"/>
    <n v="26.057756883814641"/>
    <n v="76.315200358182224"/>
    <n v="93.922095366017459"/>
    <n v="71.110364898141938"/>
    <n v="41.59391090217148"/>
    <n v="58.327736736064473"/>
    <n v="67.819565704051939"/>
    <n v="16.286098052384155"/>
    <n v="0"/>
    <n v="37.541974479516455"/>
    <n v="100"/>
    <n v="83.859413476606221"/>
    <n v="42.33266174166107"/>
    <n v="83.154242220729799"/>
    <n v="32.325945824938444"/>
    <n v="25.576449518692634"/>
    <n v="65.35706290575331"/>
    <n v="100"/>
    <n v="0"/>
    <n v="49.83163569882845"/>
    <n v="29.274270721536237"/>
    <n v="0.58746357230702906"/>
    <n v="0.99669178916996248"/>
    <n v="8.7928761535208816E-2"/>
    <n v="0.39773151257368849"/>
    <n v="0.14563589781857078"/>
    <n v="0.32646817401686434"/>
    <n v="0.36527124841429742"/>
    <n v="0.72892570206203511"/>
    <n v="0.28953063204238488"/>
    <n v="0.84794667064646922"/>
    <n v="1.043578837400194"/>
    <n v="0.79011516553491035"/>
    <n v="0.46215456557968304"/>
    <n v="0.6480859637340497"/>
    <n v="0.7535507300450216"/>
    <n v="0.18095664502649059"/>
    <n v="0"/>
    <n v="0.41713304977240506"/>
    <n v="1.1111111111111112"/>
    <n v="0.93177126085118023"/>
    <n v="0.4703629082406785"/>
    <n v="0.92393602467477554"/>
    <n v="0.35917717583264935"/>
    <n v="0.28418277242991818"/>
    <n v="0.7261895878417034"/>
    <n v="1.1111111111111112"/>
    <n v="9.9669178916996248"/>
    <n v="0.8792876153520881"/>
    <n v="3.9773151257368848"/>
    <n v="1.4563589781857076"/>
    <n v="3.2646817401686437"/>
    <n v="3.6527124841429739"/>
    <n v="7.2892570206203509"/>
    <n v="2.8953063204238489"/>
    <n v="8.4794667064646916"/>
    <n v="10.435788374001939"/>
    <n v="7.9011516553491035"/>
    <n v="4.6215456557968304"/>
    <n v="6.4808596373404965"/>
    <n v="7.5355073004502149"/>
    <n v="1.809566450264906"/>
    <n v="0"/>
    <n v="4.1713304977240506"/>
    <n v="11.111111111111111"/>
    <n v="9.3177126085118012"/>
    <n v="4.7036290824067857"/>
    <n v="9.2393602467477542"/>
    <n v="3.5917717583264936"/>
    <n v="2.8418277242991814"/>
    <n v="7.2618958784170342"/>
    <m/>
  </r>
  <r>
    <n v="2017"/>
    <x v="8"/>
    <n v="0.1"/>
    <n v="0.1111111111111111"/>
    <s v="Apoya "/>
    <x v="47"/>
    <x v="47"/>
    <s v="https://datalab.asobanca.org.ec/datalab/resources/site/index.html?QlikTicket=CurPQlA6TBSJQJ3i#_x000a__x000a_Volumen de crédito/ Base de datos- Volumen_x000a_Adicionalmente de utiliza la información de población por provincia"/>
    <n v="2017"/>
    <s v="Dólares per cápita"/>
    <n v="107.11572514453181"/>
    <n v="1.3613517678514058"/>
    <n v="5.9950973426175924"/>
    <n v="0.60781405752352236"/>
    <n v="6.5637259284619294"/>
    <n v="9.5306753338791079"/>
    <n v="37.708583405892526"/>
    <n v="2.9021217318364627"/>
    <n v="7.960515841426524"/>
    <n v="137.87473429446797"/>
    <n v="58.833278090818695"/>
    <n v="13.185853717207985"/>
    <n v="14.072470007646684"/>
    <n v="28.712639985983152"/>
    <n v="1.8250642152223875"/>
    <n v="9.6434805249910799E-2"/>
    <n v="9.2378075603390126"/>
    <n v="101.15210942060929"/>
    <n v="190.029294096504"/>
    <n v="5.0535645447094684"/>
    <n v="42.580017553727721"/>
    <n v="10.369917040663674"/>
    <n v="76.419538510017176"/>
    <n v="5.9096480476273854"/>
    <n v="87.58"/>
    <n v="36.462415935200646"/>
    <n v="50.712778523657811"/>
    <n v="1.3908233237693921"/>
    <e v="#REF!"/>
    <n v="190.029294096504"/>
    <n v="9.6434805249910799E-2"/>
    <n v="1970.5467709925176"/>
    <n v="190.029294096504"/>
    <n v="56.345853339243575"/>
    <n v="0.66598110896745766"/>
    <n v="3.1056566827766909"/>
    <n v="0.26924211754714483"/>
    <n v="3.4050406798197561"/>
    <n v="4.9671450026254718"/>
    <n v="19.802865465720156"/>
    <n v="1.4771993308878422"/>
    <n v="4.140453139873693"/>
    <n v="72.540528270540477"/>
    <n v="30.92505609863867"/>
    <n v="6.891603149029625"/>
    <n v="7.3584082578176249"/>
    <n v="15.066484697548562"/>
    <n v="0.91012656599967034"/>
    <n v="0"/>
    <n v="4.812949580815391"/>
    <n v="53.205998684195407"/>
    <n v="100"/>
    <n v="2.6099379317288154"/>
    <n v="22.367684510730719"/>
    <n v="5.4090073059237254"/>
    <n v="40.18425457794482"/>
    <n v="3.0606674716896434"/>
    <n v="100"/>
    <n v="0"/>
    <n v="19.14675599875271"/>
    <n v="26.700371232705919"/>
    <n v="1.3945114898025168"/>
    <n v="0.62606503710270645"/>
    <n v="7.399790099638418E-3"/>
    <n v="3.4507296475296566E-2"/>
    <n v="2.991579083857165E-3"/>
    <n v="3.7833785331330624E-2"/>
    <n v="5.5190500029171911E-2"/>
    <n v="0.22003183850800173"/>
    <n v="1.6413325898753803E-2"/>
    <n v="4.6005034887485481E-2"/>
    <n v="0.80600586967267196"/>
    <n v="0.34361173442931853"/>
    <n v="7.6573368322551391E-2"/>
    <n v="8.1760091753529177E-2"/>
    <n v="0.16740538552831735"/>
    <n v="1.0112517399996338E-2"/>
    <n v="0"/>
    <n v="5.3477217564615452E-2"/>
    <n v="0.59117776315772674"/>
    <n v="1.1111111111111112"/>
    <n v="2.8999310352542395E-2"/>
    <n v="0.24852982789700798"/>
    <n v="6.0100081176930276E-2"/>
    <n v="0.44649171753272021"/>
    <n v="3.4007416352107148E-2"/>
    <n v="1.1111111111111112"/>
    <n v="6.2606503710270633"/>
    <n v="7.3997900996384175E-2"/>
    <n v="0.34507296475296562"/>
    <n v="2.9915790838571647E-2"/>
    <n v="0.37833785331330622"/>
    <n v="0.55190500029171907"/>
    <n v="2.2003183850800174"/>
    <n v="0.164133258987538"/>
    <n v="0.46005034887485474"/>
    <n v="8.0600586967267187"/>
    <n v="3.4361173442931854"/>
    <n v="0.76573368322551383"/>
    <n v="0.81760091753529163"/>
    <n v="1.6740538552831734"/>
    <n v="0.10112517399996336"/>
    <n v="0"/>
    <n v="0.53477217564615454"/>
    <n v="5.9117776315772668"/>
    <n v="11.111111111111111"/>
    <n v="0.2899931035254239"/>
    <n v="2.4852982789700797"/>
    <n v="0.60100081176930276"/>
    <n v="4.4649171753272023"/>
    <n v="0.34007416352107145"/>
    <m/>
  </r>
  <r>
    <n v="2017"/>
    <x v="8"/>
    <n v="0.1"/>
    <n v="0.1111111111111111"/>
    <s v="Destruye"/>
    <x v="48"/>
    <x v="48"/>
    <s v="http://www.superbancos.gob.ec/practg/sbs_index?vp_art_id=5036&amp;vp_tip=2#10_x000a__x000a__x000a_CAPCOL BANCOS AÑO 2017/ Colocaciones (Agosto 2017)/ Usar los datos de las 5 carteras para obtener la  morosidad total"/>
    <n v="2017"/>
    <s v="%"/>
    <n v="1.4200000000000001E-2"/>
    <n v="2.1299999999999999E-2"/>
    <n v="1.4800000000000001E-2"/>
    <n v="3.1099999999999999E-2"/>
    <n v="1.6899999999999998E-2"/>
    <n v="1.3599999999999999E-2"/>
    <n v="1.38E-2"/>
    <n v="2.1700000000000001E-2"/>
    <n v="5.4999999999999997E-3"/>
    <m/>
    <n v="2.6100000000000002E-2"/>
    <n v="3.0800000000000001E-2"/>
    <n v="1.9E-2"/>
    <n v="1.6299999999999999E-2"/>
    <n v="2.3099999999999999E-2"/>
    <n v="2.9100000000000001E-2"/>
    <n v="2.4500000000000001E-2"/>
    <n v="3.9899999999999998E-2"/>
    <n v="1.14E-2"/>
    <n v="2.8500000000000001E-2"/>
    <n v="1.09E-2"/>
    <n v="3.1199999999999999E-2"/>
    <n v="2.5700000000000001E-2"/>
    <n v="1.7500000000000002E-2"/>
    <n v="1.09E-2"/>
    <n v="2.1169565217391308E-2"/>
    <n v="8.3303625798318206E-3"/>
    <n v="0.39350655028985798"/>
    <e v="#REF!"/>
    <n v="3.9899999999999998E-2"/>
    <n v="5.4999999999999997E-3"/>
    <n v="7.2545454545454549"/>
    <n v="5.4999999999999997E-3"/>
    <n v="74.70930232558139"/>
    <n v="54.069767441860463"/>
    <n v="72.965116279069761"/>
    <n v="25.581395348837205"/>
    <n v="66.860465116279073"/>
    <n v="76.453488372093034"/>
    <n v="75.872093023255815"/>
    <n v="52.906976744186053"/>
    <n v="100"/>
    <n v="115.98837209302326"/>
    <n v="40.116279069767444"/>
    <n v="26.45348837209302"/>
    <n v="60.755813953488378"/>
    <n v="68.604651162790702"/>
    <n v="48.83720930232559"/>
    <n v="31.395348837209298"/>
    <n v="44.767441860465105"/>
    <n v="0"/>
    <n v="82.848837209302332"/>
    <n v="33.139534883720927"/>
    <n v="84.302325581395351"/>
    <n v="25.29069767441861"/>
    <n v="41.279069767441854"/>
    <n v="65.116279069767444"/>
    <n v="115.98837209302326"/>
    <n v="0"/>
    <n v="57.013081395348827"/>
    <n v="26.808994170176106"/>
    <n v="0.47022531520920752"/>
    <n v="0.8301033591731265"/>
    <n v="0.60077519379844957"/>
    <n v="0.81072351421188626"/>
    <n v="0.28423772609819115"/>
    <n v="0.74289405684754517"/>
    <n v="0.84948320413436706"/>
    <n v="0.84302325581395354"/>
    <n v="0.58785529715762286"/>
    <n v="1.1111111111111112"/>
    <n v="1.2887596899224807"/>
    <n v="0.44573643410852709"/>
    <n v="0.29392764857881132"/>
    <n v="0.67506459948320419"/>
    <n v="0.76227390180878551"/>
    <n v="0.54263565891472887"/>
    <n v="0.34883720930232553"/>
    <n v="0.49741602067183449"/>
    <n v="0"/>
    <n v="0.92054263565891481"/>
    <n v="0.36821705426356582"/>
    <n v="0.93669250645994828"/>
    <n v="0.28100775193798455"/>
    <n v="0.45865633074935391"/>
    <n v="0.72351421188630494"/>
    <n v="1.2887596899224807"/>
    <n v="8.3010335917312652"/>
    <n v="6.0077519379844952"/>
    <n v="8.1072351421188618"/>
    <n v="2.8423772609819116"/>
    <n v="7.4289405684754524"/>
    <n v="8.4948320413436704"/>
    <n v="8.4302325581395348"/>
    <n v="5.8785529715762275"/>
    <n v="11.111111111111111"/>
    <n v="12.887596899224805"/>
    <n v="4.4573643410852712"/>
    <n v="2.9392764857881133"/>
    <n v="6.7506459948320412"/>
    <n v="7.6227390180878558"/>
    <n v="5.4263565891472876"/>
    <n v="3.4883720930232549"/>
    <n v="4.974160206718345"/>
    <n v="0"/>
    <n v="9.2054263565891468"/>
    <n v="3.6821705426356584"/>
    <n v="9.3669250645994833"/>
    <n v="2.8100775193798455"/>
    <n v="4.586563307493539"/>
    <n v="7.2351421188630489"/>
    <m/>
  </r>
  <r>
    <n v="2017"/>
    <x v="8"/>
    <n v="0.1"/>
    <n v="0.1111111111111111"/>
    <s v="Apoya "/>
    <x v="49"/>
    <x v="49"/>
    <s v="https://datalab.asobanca.org.ec/datalab/resources/site/index.html?QlikTicket=CurPQlA6TBSJQJ3i#_x000a__x000a_Volumen de crédito/ Base de datos- Volumen"/>
    <n v="2017"/>
    <s v="%"/>
    <n v="3.3399999999999999E-2"/>
    <n v="0.55659999999999998"/>
    <n v="0.10680000000000001"/>
    <n v="0.71250000000000002"/>
    <n v="0.24979999999999999"/>
    <n v="0.31859999999999999"/>
    <n v="0.1067"/>
    <n v="0.2702"/>
    <n v="0.34499999999999997"/>
    <n v="3.44E-2"/>
    <n v="0.16059999999999999"/>
    <n v="0.17119999999999999"/>
    <n v="0.1749"/>
    <n v="0.1598"/>
    <n v="0.38069999999999998"/>
    <n v="0.40160000000000001"/>
    <n v="0.25340000000000001"/>
    <n v="1.9099999999999999E-2"/>
    <n v="6.6000000000000003E-2"/>
    <n v="0.2848"/>
    <n v="7.6899999999999996E-2"/>
    <n v="0.20880000000000001"/>
    <n v="0.29089999999999999"/>
    <n v="0.1888"/>
    <n v="7.6899999999999996E-2"/>
    <n v="0.2321458333333333"/>
    <n v="0.16711802644984997"/>
    <n v="0.71988380773515204"/>
    <e v="#REF!"/>
    <n v="0.71250000000000002"/>
    <n v="1.9099999999999999E-2"/>
    <n v="37.303664921465973"/>
    <n v="0.71250000000000002"/>
    <n v="2.0623017017594463"/>
    <n v="77.516584943755404"/>
    <n v="12.647822324776465"/>
    <n v="100"/>
    <n v="33.27083934237092"/>
    <n v="43.192962215171619"/>
    <n v="12.63340063455437"/>
    <n v="36.212864147678104"/>
    <n v="47.000288433804435"/>
    <n v="2.2065186039803866"/>
    <n v="20.40669166426305"/>
    <n v="21.935390827805016"/>
    <n v="22.468993366022495"/>
    <n v="20.291318142486297"/>
    <n v="52.148831843092005"/>
    <n v="55.162965099509663"/>
    <n v="33.790020190366313"/>
    <n v="0"/>
    <n v="6.7637727141621005"/>
    <n v="38.318430920103836"/>
    <n v="8.3357369483703483"/>
    <n v="27.357946351312375"/>
    <n v="39.198154023651568"/>
    <n v="24.473608306893567"/>
    <n v="100"/>
    <n v="0"/>
    <n v="30.72481011441208"/>
    <n v="24.101244079874533"/>
    <n v="0.7844228813824099"/>
    <n v="2.2914463352882736E-2"/>
    <n v="0.86129538826394891"/>
    <n v="0.14053135916418294"/>
    <n v="1.1111111111111112"/>
    <n v="0.36967599269301021"/>
    <n v="0.47992180239079579"/>
    <n v="0.14037111816171521"/>
    <n v="0.40236515719642341"/>
    <n v="0.52222542704227148"/>
    <n v="2.4516873377559849E-2"/>
    <n v="0.22674101849181166"/>
    <n v="0.24372656475338905"/>
    <n v="0.24965548184469438"/>
    <n v="0.22545909047206997"/>
    <n v="0.57943146492324449"/>
    <n v="0.61292183443899628"/>
    <n v="0.37544466878184796"/>
    <n v="0"/>
    <n v="7.5153030157356665E-2"/>
    <n v="0.42576034355670928"/>
    <n v="9.2619299426337204E-2"/>
    <n v="0.3039771816812486"/>
    <n v="0.43553504470723964"/>
    <n v="0.27192898118770631"/>
    <n v="1.1111111111111112"/>
    <n v="0.22914463352882736"/>
    <n v="8.6129538826394896"/>
    <n v="1.4053135916418293"/>
    <n v="11.111111111111111"/>
    <n v="3.6967599269301021"/>
    <n v="4.7992180239079572"/>
    <n v="1.4037111816171521"/>
    <n v="4.0236515719642334"/>
    <n v="5.2222542704227148"/>
    <n v="0.2451687337755985"/>
    <n v="2.2674101849181167"/>
    <n v="2.4372656475338905"/>
    <n v="2.4965548184469437"/>
    <n v="2.2545909047206996"/>
    <n v="5.7943146492324447"/>
    <n v="6.1292183443899626"/>
    <n v="3.7544466878184792"/>
    <n v="0"/>
    <n v="0.75153030157356671"/>
    <n v="4.2576034355670931"/>
    <n v="0.92619299426337198"/>
    <n v="3.0397718168124861"/>
    <n v="4.3553504470723965"/>
    <n v="2.7192898118770628"/>
    <m/>
  </r>
  <r>
    <n v="2017"/>
    <x v="8"/>
    <n v="0.1"/>
    <n v="0.1111111111111111"/>
    <s v="Apoya "/>
    <x v="50"/>
    <x v="50"/>
    <s v="https://datalab.asobanca.org.ec/datalab/resources/site/index.html?QlikTicket=CurPQlA6TBSJQJ3i#_x000a__x000a_Volumen de crédito/ Base de datos- Volumen_x000a_Adicionalmente de utiliza la información de población por provincia"/>
    <n v="2017"/>
    <s v="Dólares per cápita"/>
    <n v="4.42"/>
    <n v="9.6999999999999993"/>
    <n v="1.99"/>
    <n v="3.46"/>
    <n v="6.16"/>
    <n v="10.9"/>
    <n v="6.89"/>
    <n v="3.62"/>
    <n v="0.13780000000000001"/>
    <n v="6.01"/>
    <n v="16.87"/>
    <n v="6.26"/>
    <n v="5.27"/>
    <n v="8.32"/>
    <n v="4.76"/>
    <n v="4.9800000000000004"/>
    <n v="7.28"/>
    <n v="2.4900000000000002"/>
    <n v="16.86"/>
    <n v="8.07"/>
    <n v="8.9700000000000006"/>
    <n v="4.32"/>
    <n v="16.28"/>
    <n v="13.59"/>
    <n v="8.9700000000000006"/>
    <n v="7.4003249999999996"/>
    <n v="4.6360798953285487"/>
    <n v="0.62646976927750453"/>
    <e v="#REF!"/>
    <n v="16.87"/>
    <n v="0.13780000000000001"/>
    <n v="122.42380261248186"/>
    <n v="16.87"/>
    <n v="25.592570014702186"/>
    <n v="57.148492128948959"/>
    <n v="11.06967404166816"/>
    <n v="19.855129630293682"/>
    <n v="35.991680711442605"/>
    <n v="64.320292609459599"/>
    <n v="40.354526003753236"/>
    <n v="20.811369694361765"/>
    <n v="0"/>
    <n v="35.09520565137877"/>
    <n v="100"/>
    <n v="36.58933075148515"/>
    <n v="30.67259535506388"/>
    <n v="48.900921576361739"/>
    <n v="27.62458015084686"/>
    <n v="28.939410238940482"/>
    <n v="42.685361159919189"/>
    <n v="14.057924241880922"/>
    <n v="99.940234995995738"/>
    <n v="47.406796476255359"/>
    <n v="52.785646836638335"/>
    <n v="24.994919974659634"/>
    <n v="96.473864763748935"/>
    <n v="80.39707868660426"/>
    <n v="100"/>
    <n v="0"/>
    <n v="43.404483570600398"/>
    <n v="27.70753335083581"/>
    <n v="0.63835648005735601"/>
    <n v="0.28436188905224652"/>
    <n v="0.63498324587721067"/>
    <n v="0.12299637824075733"/>
    <n v="0.22061255144770756"/>
    <n v="0.3999075634604734"/>
    <n v="0.71466991788288436"/>
    <n v="0.44838362226392486"/>
    <n v="0.23123744104846405"/>
    <n v="0"/>
    <n v="0.38994672945976411"/>
    <n v="1.1111111111111112"/>
    <n v="0.4065481194609461"/>
    <n v="0.34080661505626531"/>
    <n v="0.54334357307068604"/>
    <n v="0.30693977945385398"/>
    <n v="0.32154900265489422"/>
    <n v="0.47428179066576881"/>
    <n v="0.15619915824312136"/>
    <n v="1.1104470555110637"/>
    <n v="0.52674218306950404"/>
    <n v="0.58650718707375937"/>
    <n v="0.27772133305177371"/>
    <n v="1.0719318307083214"/>
    <n v="0.89330087429560301"/>
    <n v="1.1111111111111112"/>
    <n v="2.8436188905224649"/>
    <n v="6.3498324587721058"/>
    <n v="1.2299637824075733"/>
    <n v="2.2061255144770757"/>
    <n v="3.9990756346047336"/>
    <n v="7.1466991788288441"/>
    <n v="4.4838362226392485"/>
    <n v="2.3123744104846407"/>
    <n v="0"/>
    <n v="3.899467294597641"/>
    <n v="11.111111111111111"/>
    <n v="4.0654811946094611"/>
    <n v="3.4080661505626533"/>
    <n v="5.4334357307068597"/>
    <n v="3.0693977945385398"/>
    <n v="3.2154900265489421"/>
    <n v="4.7428179066576872"/>
    <n v="1.5619915824312134"/>
    <n v="11.104470555110638"/>
    <n v="5.2674218306950396"/>
    <n v="5.8650718707375926"/>
    <n v="2.7772133305177369"/>
    <n v="10.719318307083215"/>
    <n v="8.9330087429560283"/>
    <m/>
  </r>
  <r>
    <n v="2017"/>
    <x v="8"/>
    <n v="0.1"/>
    <n v="0.1111111111111111"/>
    <s v="Apoya "/>
    <x v="51"/>
    <x v="51"/>
    <s v="Asociación de Bancos Privados"/>
    <n v="2017"/>
    <s v="Tasa x 1.000.000 hab."/>
    <n v="130.59468000000001"/>
    <n v="38.117849999999997"/>
    <n v="111.02032"/>
    <n v="72.937690000000003"/>
    <n v="61.057920000000003"/>
    <n v="58.650309999999998"/>
    <n v="111.54415"/>
    <n v="48.680750000000003"/>
    <n v="278.61804999999998"/>
    <n v="93.814729999999997"/>
    <n v="123.04015"/>
    <n v="77.956909999999993"/>
    <n v="59.117229999999999"/>
    <n v="59.133580000000002"/>
    <n v="33.797485467081252"/>
    <n v="28.930440000000001"/>
    <n v="51.321150000000003"/>
    <n v="71.485590000000002"/>
    <n v="122.26899"/>
    <n v="39.666350000000001"/>
    <n v="99.091729999999998"/>
    <n v="76.606549999999999"/>
    <n v="84.226079999999996"/>
    <n v="95.105339999999998"/>
    <n v="99.091729999999998"/>
    <n v="84.449334394461729"/>
    <n v="50.940226506966908"/>
    <n v="0.60320459447348374"/>
    <e v="#REF!"/>
    <n v="278.61804999999998"/>
    <n v="28.930440000000001"/>
    <n v="9.6306191679075734"/>
    <n v="278.61804999999998"/>
    <n v="40.716573801959981"/>
    <n v="3.6795618332843976"/>
    <n v="32.8770338263881"/>
    <n v="17.62492339928281"/>
    <n v="12.867070176209388"/>
    <n v="11.902821289370346"/>
    <n v="33.086827976766656"/>
    <n v="7.9100080296335102"/>
    <n v="100"/>
    <n v="25.98618730020284"/>
    <n v="37.690981142396289"/>
    <n v="19.635123264626543"/>
    <n v="12.089822959176869"/>
    <n v="12.096371141523605"/>
    <n v="1.9492538965314505"/>
    <n v="0"/>
    <n v="8.967489416074752"/>
    <n v="17.043356696794046"/>
    <n v="37.382131215882119"/>
    <n v="4.2997367790896801"/>
    <n v="28.099628171377827"/>
    <n v="19.094303477853785"/>
    <n v="22.145928666624666"/>
    <n v="26.503077185127449"/>
    <n v="100"/>
    <n v="0"/>
    <n v="22.235342151924044"/>
    <n v="20.401583605596983"/>
    <n v="0.91752955570470573"/>
    <n v="0.4524063755773331"/>
    <n v="4.0884020369826642E-2"/>
    <n v="0.36530037584875663"/>
    <n v="0.19583248221425342"/>
    <n v="0.14296744640232653"/>
    <n v="0.13225356988189274"/>
    <n v="0.36763142196407395"/>
    <n v="8.7888978107039009E-2"/>
    <n v="1.1111111111111112"/>
    <n v="0.28873541444669826"/>
    <n v="0.41878867935995873"/>
    <n v="0.21816803627362824"/>
    <n v="0.13433136621307634"/>
    <n v="0.13440412379470673"/>
    <n v="2.1658376628127227E-2"/>
    <n v="0"/>
    <n v="9.9638771289719458E-2"/>
    <n v="0.18937062996437828"/>
    <n v="0.41535701350980131"/>
    <n v="4.7774853100996446E-2"/>
    <n v="0.31221809079308699"/>
    <n v="0.21215892753170873"/>
    <n v="0.24606587407360742"/>
    <n v="0.294478635390305"/>
    <n v="1.1111111111111112"/>
    <n v="4.524063755773331"/>
    <n v="0.40884020369826635"/>
    <n v="3.6530037584875665"/>
    <n v="1.9583248221425344"/>
    <n v="1.4296744640232653"/>
    <n v="1.3225356988189272"/>
    <n v="3.6763142196407395"/>
    <n v="0.87888978107038995"/>
    <n v="11.111111111111111"/>
    <n v="2.8873541444669821"/>
    <n v="4.1878867935995876"/>
    <n v="2.1816803627362824"/>
    <n v="1.3433136621307631"/>
    <n v="1.3440412379470672"/>
    <n v="0.21658376628127227"/>
    <n v="0"/>
    <n v="0.99638771289719463"/>
    <n v="1.8937062996437828"/>
    <n v="4.153570135098013"/>
    <n v="0.47774853100996445"/>
    <n v="3.1221809079308693"/>
    <n v="2.1215892753170871"/>
    <n v="2.4606587407360738"/>
    <n v="2.9447863539030497"/>
    <m/>
  </r>
  <r>
    <n v="2017"/>
    <x v="9"/>
    <n v="0.05"/>
    <n v="0.5"/>
    <s v="Apoya "/>
    <x v="52"/>
    <x v="52"/>
    <s v="INEC: Encuesta Encuesta de Superficie y Producción Contínua (ESPAC)"/>
    <n v="2016"/>
    <s v="% "/>
    <n v="0.17"/>
    <n v="0.61"/>
    <n v="0.28999999999999998"/>
    <n v="0.26"/>
    <n v="0.26"/>
    <n v="0.26"/>
    <n v="0.46"/>
    <n v="0.45"/>
    <n v="0"/>
    <n v="0.64"/>
    <n v="0.17"/>
    <n v="0.18"/>
    <n v="0.78"/>
    <n v="0.67"/>
    <n v="0.18"/>
    <n v="0.1"/>
    <n v="0.08"/>
    <n v="0.03"/>
    <n v="0.27"/>
    <n v="0.2"/>
    <n v="0.35"/>
    <n v="0.33"/>
    <n v="0.22"/>
    <n v="0.82"/>
    <n v="0.12790000000000001"/>
    <n v="0.32416666666666666"/>
    <n v="0.2305931230670098"/>
    <n v="0.71134125367715106"/>
    <e v="#REF!"/>
    <n v="0.82"/>
    <n v="0"/>
    <e v="#DIV/0!"/>
    <n v="0.82"/>
    <n v="20.731707317073173"/>
    <n v="74.390243902439025"/>
    <n v="35.365853658536587"/>
    <n v="31.707317073170731"/>
    <n v="31.707317073170731"/>
    <n v="31.707317073170731"/>
    <n v="56.09756097560976"/>
    <n v="54.878048780487809"/>
    <n v="0"/>
    <n v="78.048780487804876"/>
    <n v="20.731707317073173"/>
    <n v="21.951219512195124"/>
    <n v="95.121951219512198"/>
    <n v="81.707317073170742"/>
    <n v="21.951219512195124"/>
    <n v="12.195121951219514"/>
    <n v="9.7560975609756095"/>
    <n v="3.6585365853658534"/>
    <n v="32.926829268292686"/>
    <n v="24.390243902439028"/>
    <n v="42.68292682926829"/>
    <n v="40.243902439024396"/>
    <n v="26.829268292682929"/>
    <n v="100"/>
    <n v="100"/>
    <n v="0"/>
    <n v="39.532520325203258"/>
    <n v="28.121112569147527"/>
    <n v="0.71134125367715073"/>
    <n v="0.5182926829268294"/>
    <n v="1.8597560975609757"/>
    <n v="0.88414634146341475"/>
    <n v="0.79268292682926833"/>
    <n v="0.79268292682926833"/>
    <n v="0.79268292682926833"/>
    <n v="1.402439024390244"/>
    <n v="1.3719512195121952"/>
    <n v="0"/>
    <n v="1.9512195121951219"/>
    <n v="0.5182926829268294"/>
    <n v="0.54878048780487809"/>
    <n v="2.3780487804878052"/>
    <n v="2.0426829268292686"/>
    <n v="0.54878048780487809"/>
    <n v="0.30487804878048785"/>
    <n v="0.24390243902439024"/>
    <n v="9.1463414634146339E-2"/>
    <n v="0.82317073170731714"/>
    <n v="0.60975609756097571"/>
    <n v="1.0670731707317074"/>
    <n v="1.00609756097561"/>
    <n v="0.67073170731707332"/>
    <n v="2.5"/>
    <n v="2.5"/>
    <n v="10.365853658536587"/>
    <n v="37.195121951219512"/>
    <n v="17.682926829268293"/>
    <n v="15.853658536585366"/>
    <n v="15.853658536585366"/>
    <n v="15.853658536585366"/>
    <n v="28.04878048780488"/>
    <n v="27.439024390243905"/>
    <n v="0"/>
    <n v="39.024390243902438"/>
    <n v="10.365853658536587"/>
    <n v="10.975609756097562"/>
    <n v="47.560975609756099"/>
    <n v="40.853658536585371"/>
    <n v="10.975609756097562"/>
    <n v="6.0975609756097571"/>
    <n v="4.8780487804878048"/>
    <n v="1.8292682926829267"/>
    <n v="16.463414634146343"/>
    <n v="12.195121951219514"/>
    <n v="21.341463414634145"/>
    <n v="20.121951219512198"/>
    <n v="13.414634146341465"/>
    <n v="50"/>
    <m/>
  </r>
  <r>
    <n v="2017"/>
    <x v="9"/>
    <n v="0.05"/>
    <n v="0.5"/>
    <s v="Apoya "/>
    <x v="53"/>
    <x v="53"/>
    <s v="INEC: Encuesta Encuesta de Superficie y Producción Contínua (ESPAC)"/>
    <n v="2016"/>
    <s v="%"/>
    <n v="0.56155738462571447"/>
    <n v="0.29711184739773572"/>
    <n v="0.43361266396879389"/>
    <n v="0.54005599540877369"/>
    <n v="0.53004840492749394"/>
    <n v="0.45159614208764581"/>
    <n v="0.31081590571856238"/>
    <n v="0.47257333290716819"/>
    <n v="0.97"/>
    <n v="0.22266517468931005"/>
    <n v="0.65986519017100131"/>
    <n v="0.46218504974226454"/>
    <n v="0.10409775343089397"/>
    <n v="0.25061955599236785"/>
    <n v="0.71850601162172578"/>
    <n v="0.84671652016361776"/>
    <n v="0.85996818473460834"/>
    <n v="0.93204110007131913"/>
    <n v="0.5629610867769882"/>
    <n v="0.66954869749395085"/>
    <n v="0.48855427147024694"/>
    <n v="0.59376461284431703"/>
    <n v="0.61045989165015013"/>
    <n v="0.12719292133347726"/>
    <n v="0.48855427147024694"/>
    <n v="0.52818823746783872"/>
    <n v="0.23704963410520424"/>
    <n v="0.44879763934470074"/>
    <e v="#REF!"/>
    <n v="0.97"/>
    <n v="0.10409775343089397"/>
    <n v="9.3181645907847699"/>
    <n v="0.97"/>
    <n v="52.830401238404853"/>
    <n v="22.290517749735123"/>
    <n v="38.054516181648687"/>
    <n v="50.347281544220678"/>
    <n v="49.191540174922693"/>
    <n v="40.131364716238636"/>
    <n v="23.873151167667125"/>
    <n v="42.553946584184878"/>
    <n v="100"/>
    <n v="13.692933784177846"/>
    <n v="64.183623375753953"/>
    <n v="41.354240357983912"/>
    <n v="0"/>
    <n v="16.921286801371089"/>
    <n v="70.955845261431264"/>
    <n v="85.762425224688087"/>
    <n v="87.292813282173398"/>
    <n v="95.616260371296832"/>
    <n v="52.992509854803018"/>
    <n v="65.301937522797417"/>
    <n v="44.399528880154051"/>
    <n v="56.549900563671038"/>
    <n v="58.477979497752045"/>
    <n v="2.6671795799227209"/>
    <n v="100"/>
    <n v="0"/>
    <n v="48.976715988124973"/>
    <n v="27.376027149074503"/>
    <n v="0.55896004043456426"/>
    <n v="1.3207600309601215"/>
    <n v="0.55726294374337815"/>
    <n v="0.95136290454121719"/>
    <n v="1.2586820386055171"/>
    <n v="1.2297885043730674"/>
    <n v="1.0032841179059659"/>
    <n v="0.59682877919167809"/>
    <n v="1.0638486646046219"/>
    <n v="2.5"/>
    <n v="0.34232334460444619"/>
    <n v="1.6045905843938488"/>
    <n v="1.0338560089495978"/>
    <n v="0"/>
    <n v="0.42303217003427723"/>
    <n v="1.7738961315357817"/>
    <n v="2.1440606306172021"/>
    <n v="2.182320332054335"/>
    <n v="2.3904065092824207"/>
    <n v="1.3248127463700756"/>
    <n v="1.6325484380699355"/>
    <n v="1.1099882220038513"/>
    <n v="1.4137475140917761"/>
    <n v="1.4619494874438013"/>
    <n v="6.6679489498068026E-2"/>
    <n v="2.5"/>
    <n v="26.415200619202427"/>
    <n v="11.145258874867562"/>
    <n v="19.027258090824343"/>
    <n v="25.173640772110339"/>
    <n v="24.595770087461347"/>
    <n v="20.065682358119318"/>
    <n v="11.936575583833562"/>
    <n v="21.276973292092439"/>
    <n v="50"/>
    <n v="6.8464668920889231"/>
    <n v="32.091811687876977"/>
    <n v="20.677120178991956"/>
    <n v="0"/>
    <n v="8.4606434006855444"/>
    <n v="35.477922630715632"/>
    <n v="42.881212612344044"/>
    <n v="43.646406641086699"/>
    <n v="47.808130185648416"/>
    <n v="26.496254927401509"/>
    <n v="32.650968761398708"/>
    <n v="22.199764440077026"/>
    <n v="28.274950281835519"/>
    <n v="29.238989748876023"/>
    <n v="1.3335897899613605"/>
    <m/>
  </r>
  <r>
    <n v="2017"/>
    <x v="10"/>
    <n v="0.05"/>
    <n v="0.25"/>
    <s v="Destruye"/>
    <x v="54"/>
    <x v="54"/>
    <s v="ENDICIÓN DE CUENTAS EN EL PERÍODO DEL 01 DE ENERO AL 31 DE DICIEMBRE DE 2016 PÁGINA NRO.8"/>
    <n v="2016"/>
    <s v="%"/>
    <n v="2.2100000000000002E-2"/>
    <n v="1.2500000000000001E-2"/>
    <n v="1.8599999999999998E-2"/>
    <n v="7.7999999999999996E-3"/>
    <n v="1.9E-2"/>
    <n v="1.41E-2"/>
    <n v="2.8400000000000002E-2"/>
    <n v="2.46E-2"/>
    <n v="6.0999999999999999E-2"/>
    <n v="3.4500000000000003E-2"/>
    <n v="1.8800000000000001E-2"/>
    <n v="1.4800000000000001E-2"/>
    <n v="1.8499999999999999E-2"/>
    <n v="1.7399999999999999E-2"/>
    <n v="2.7E-2"/>
    <n v="2.6700000000000002E-2"/>
    <n v="2.5000000000000001E-2"/>
    <n v="3.1E-2"/>
    <n v="1.18E-2"/>
    <n v="2.1399999999999999E-2"/>
    <n v="1.4500000000000001E-2"/>
    <n v="1.5699999999999999E-2"/>
    <n v="3.73E-2"/>
    <n v="2.2100000000000002E-2"/>
    <n v="1.4500000000000001E-2"/>
    <n v="2.2691666666666666E-2"/>
    <n v="1.0945275600505209E-2"/>
    <n v="0.48234780464951343"/>
    <n v="0.15409999999999999"/>
    <n v="6.0999999999999999E-2"/>
    <n v="7.7999999999999996E-3"/>
    <n v="7.8205128205128203"/>
    <n v="7.7999999999999996E-3"/>
    <n v="73.120300751879697"/>
    <n v="6.4284492414685701E-3"/>
    <n v="99.983352610968069"/>
    <n v="1.3718673284301985E-3"/>
    <n v="99.982368690297534"/>
    <n v="1.2730551880878238E-2"/>
    <n v="99.98432579289981"/>
    <n v="1.1872820565201891E-2"/>
    <n v="99.950859283758504"/>
    <n v="2.2640993505689266E-2"/>
    <n v="100.00384375261703"/>
    <n v="-7.8424676732282705E-3"/>
    <n v="99.973660610405858"/>
    <n v="2.5247137616560167E-2"/>
    <n v="99.998246232909025"/>
    <n v="1.4532547753844938E-3"/>
    <n v="99.976452499601905"/>
    <n v="2.9554133981307018E-2"/>
    <n v="100.01776356672556"/>
    <n v="-8.1550955133309344E-3"/>
    <n v="99.977350774862828"/>
    <n v="2.3858553603005817E-2"/>
    <n v="99.986552299376157"/>
    <n v="-1.759209898338554E-3"/>
    <n v="100.01776356672556"/>
    <n v="-8.1550955133309344E-3"/>
    <n v="48.878019910654793"/>
    <n v="50.206565598613615"/>
    <n v="1.0271808410076206"/>
    <n v="0.91400375939849621"/>
    <n v="8.0355615518357134E-5"/>
    <n v="1.2497919076371009"/>
    <n v="1.7148341605377482E-5"/>
    <n v="1.2497796086287192"/>
    <n v="1.5913189851097799E-4"/>
    <n v="1.2498040724112478"/>
    <n v="1.4841025706502364E-4"/>
    <n v="1.2493857410469813"/>
    <n v="2.8301241882111583E-4"/>
    <n v="1.2500480469077129"/>
    <n v="-9.8030845915353384E-5"/>
    <n v="1.2496707576300734"/>
    <n v="3.1558922020700212E-4"/>
    <n v="1.249978077911363"/>
    <n v="1.8165684692306171E-5"/>
    <n v="1.2497056562450239"/>
    <n v="3.6942667476633776E-4"/>
    <n v="1.2502220445840697"/>
    <n v="-1.0193869391663669E-4"/>
    <n v="1.2497168846857853"/>
    <n v="2.9823192003757275E-4"/>
    <n v="1.2498319037422021"/>
    <n v="-2.1990123729231926E-5"/>
    <n v="1.2502220445840697"/>
    <n v="18.280075187969924"/>
    <n v="1.6071123103671425E-3"/>
    <n v="24.995838152742017"/>
    <n v="3.4296683210754964E-4"/>
    <n v="24.995592172574383"/>
    <n v="3.1826379702195595E-3"/>
    <n v="24.996081448224952"/>
    <n v="2.9682051413004729E-3"/>
    <n v="24.987714820939626"/>
    <n v="5.6602483764223166E-3"/>
    <n v="25.000960938154257"/>
    <n v="-1.9606169183070676E-3"/>
    <n v="24.993415152601465"/>
    <n v="6.3117844041400417E-3"/>
    <n v="24.999561558227256"/>
    <n v="3.6331369384612344E-4"/>
    <n v="24.994113124900476"/>
    <n v="7.3885334953267545E-3"/>
    <n v="25.004440891681391"/>
    <n v="-2.0387738783327336E-3"/>
    <n v="24.994337693715707"/>
    <n v="5.9646384007514541E-3"/>
    <n v="24.996638074844039"/>
    <n v="-4.398024745846385E-4"/>
    <m/>
  </r>
  <r>
    <n v="2017"/>
    <x v="10"/>
    <n v="0.05"/>
    <n v="0.25"/>
    <s v="Apoya "/>
    <x v="55"/>
    <x v="55"/>
    <s v="Dirección Nacional de Policía Judicial: Departamento de Estadísticas"/>
    <n v="2016"/>
    <s v="%"/>
    <n v="1.7299999999999999E-2"/>
    <n v="4.7399999999999998E-2"/>
    <n v="4.7600000000000003E-2"/>
    <n v="0.2019"/>
    <n v="3.6299999999999999E-2"/>
    <n v="3.6600000000000001E-2"/>
    <n v="3.0099999999999998E-2"/>
    <n v="3.8699999999999998E-2"/>
    <n v="3.4299999999999997E-2"/>
    <n v="1.09E-2"/>
    <n v="4.82E-2"/>
    <n v="3.1199999999999999E-2"/>
    <n v="4.8500000000000001E-2"/>
    <n v="4.24E-2"/>
    <n v="4.1799999999999997E-2"/>
    <n v="5.4199999999999998E-2"/>
    <n v="3.4799999999999998E-2"/>
    <n v="6.1499999999999999E-2"/>
    <n v="4.7000000000000002E-3"/>
    <n v="5.74E-2"/>
    <n v="4.41E-2"/>
    <n v="4.4900000000000002E-2"/>
    <n v="2.6800000000000001E-2"/>
    <n v="5.3400000000000003E-2"/>
    <n v="4.41E-2"/>
    <n v="4.5625000000000006E-2"/>
    <n v="3.608240869719348E-2"/>
    <n v="0.79084731391108987"/>
    <n v="0.15409999999999999"/>
    <n v="0.2019"/>
    <n v="4.7000000000000002E-3"/>
    <n v="42.957446808510639"/>
    <n v="0.2019"/>
    <n v="6.3894523326572017"/>
    <n v="21.653144016227181"/>
    <n v="21.754563894523329"/>
    <n v="100"/>
    <n v="16.024340770791074"/>
    <n v="16.176470588235293"/>
    <n v="12.880324543610547"/>
    <n v="17.241379310344826"/>
    <n v="15.010141987829615"/>
    <n v="3.1440162271805274"/>
    <n v="22.058823529411764"/>
    <n v="13.438133874239352"/>
    <n v="22.210953346855984"/>
    <n v="19.117647058823529"/>
    <n v="18.81338742393509"/>
    <n v="25.101419878296145"/>
    <n v="15.263691683569981"/>
    <n v="28.803245436105477"/>
    <n v="0"/>
    <n v="26.72413793103448"/>
    <n v="19.979716024340771"/>
    <n v="20.385395537525355"/>
    <n v="11.206896551724139"/>
    <n v="24.695740365111561"/>
    <n v="100"/>
    <n v="0"/>
    <n v="20.753042596348887"/>
    <n v="18.297367493505824"/>
    <n v="0.88167156254596168"/>
    <n v="7.9868154158215021E-2"/>
    <n v="0.27066430020283977"/>
    <n v="0.27193204868154164"/>
    <n v="1.25"/>
    <n v="0.20030425963488843"/>
    <n v="0.20220588235294118"/>
    <n v="0.16100405679513186"/>
    <n v="0.21551724137931033"/>
    <n v="0.18762677484787019"/>
    <n v="3.9300202839756597E-2"/>
    <n v="0.27573529411764708"/>
    <n v="0.16797667342799191"/>
    <n v="0.2776369168356998"/>
    <n v="0.23897058823529413"/>
    <n v="0.23516734279918863"/>
    <n v="0.31376774847870181"/>
    <n v="0.19079614604462478"/>
    <n v="0.3600405679513185"/>
    <n v="0"/>
    <n v="0.33405172413793105"/>
    <n v="0.24974645030425965"/>
    <n v="0.25481744421906694"/>
    <n v="0.14008620689655174"/>
    <n v="0.30869675456389456"/>
    <n v="1.25"/>
    <n v="1.5973630831643004"/>
    <n v="5.4132860040567952"/>
    <n v="5.4386409736308323"/>
    <n v="25"/>
    <n v="4.0060851926977685"/>
    <n v="4.0441176470588234"/>
    <n v="3.2200811359026367"/>
    <n v="4.3103448275862064"/>
    <n v="3.7525354969574036"/>
    <n v="0.78600405679513186"/>
    <n v="5.5147058823529411"/>
    <n v="3.3595334685598379"/>
    <n v="5.552738336713996"/>
    <n v="4.7794117647058822"/>
    <n v="4.7033468559837726"/>
    <n v="6.2753549695740363"/>
    <n v="3.8159229208924952"/>
    <n v="7.2008113590263694"/>
    <n v="0"/>
    <n v="6.6810344827586201"/>
    <n v="4.9949290060851927"/>
    <n v="5.0963488843813387"/>
    <n v="2.8017241379310347"/>
    <n v="6.1739350912778903"/>
    <m/>
  </r>
  <r>
    <n v="2017"/>
    <x v="10"/>
    <n v="0.05"/>
    <n v="0.25"/>
    <s v="Apoya "/>
    <x v="56"/>
    <x v="56"/>
    <s v="Consejo Nacional de la Judicatura: Guía de unidades judiciales y servicios"/>
    <n v="2016"/>
    <s v="Tasa x 1.000.000 hab."/>
    <n v="36.51"/>
    <n v="65.75"/>
    <n v="63.17"/>
    <n v="60.78"/>
    <n v="33.24"/>
    <n v="44.99"/>
    <n v="42.32"/>
    <n v="29.09"/>
    <n v="142.54"/>
    <n v="14.42"/>
    <n v="40.36"/>
    <n v="51.57"/>
    <n v="34.92"/>
    <n v="34.92"/>
    <n v="71.11"/>
    <n v="58.56"/>
    <n v="62.62"/>
    <n v="82.92"/>
    <n v="20.54"/>
    <n v="53.8"/>
    <n v="36.340000000000003"/>
    <n v="102.24"/>
    <n v="59.34"/>
    <n v="19.02"/>
    <n v="31.796859999999999"/>
    <n v="52.544583333333321"/>
    <n v="28.248234262503498"/>
    <n v="0.53760506736349611"/>
    <n v="7.7799999999999994E-2"/>
    <n v="142.54"/>
    <n v="14.42"/>
    <n v="9.8848821081830778"/>
    <n v="142.54"/>
    <n v="17.241648454573834"/>
    <n v="40.064002497658443"/>
    <n v="38.050265376209801"/>
    <n v="36.18482672494536"/>
    <n v="14.689353730877302"/>
    <n v="23.860443334374022"/>
    <n v="21.776459569153918"/>
    <n v="11.450202934748672"/>
    <n v="100"/>
    <n v="0"/>
    <n v="20.24664377146425"/>
    <n v="28.996253512332189"/>
    <n v="16.000624414611302"/>
    <n v="16.000624414611302"/>
    <n v="44.247580393381206"/>
    <n v="34.45207617858258"/>
    <n v="37.620980330939737"/>
    <n v="53.465501092725567"/>
    <n v="4.7767717764595687"/>
    <n v="30.736809241336243"/>
    <n v="17.108960349672184"/>
    <n v="68.545113955666565"/>
    <n v="35.060880424601933"/>
    <n v="3.5903840149859505"/>
    <n v="100"/>
    <n v="0"/>
    <n v="29.756933603912998"/>
    <n v="22.04826277123281"/>
    <n v="0.74094538989506276"/>
    <n v="0.21552060568217293"/>
    <n v="0.50080003122073058"/>
    <n v="0.47562831720262255"/>
    <n v="0.45231033406181703"/>
    <n v="0.1836169216359663"/>
    <n v="0.29825554167967527"/>
    <n v="0.27220574461442398"/>
    <n v="0.1431275366843584"/>
    <n v="1.25"/>
    <n v="0"/>
    <n v="0.25308304714330315"/>
    <n v="0.36245316890415236"/>
    <n v="0.20000780518264127"/>
    <n v="0.20000780518264127"/>
    <n v="0.55309475491726512"/>
    <n v="0.43065095223228228"/>
    <n v="0.47026225413674672"/>
    <n v="0.66831876365906961"/>
    <n v="5.9709647205744613E-2"/>
    <n v="0.38421011551670303"/>
    <n v="0.2138620043709023"/>
    <n v="0.85681392444583215"/>
    <n v="0.43826100530752421"/>
    <n v="4.4879800187324383E-2"/>
    <n v="1.25"/>
    <n v="4.3104121136434586"/>
    <n v="10.016000624414611"/>
    <n v="9.5125663440524502"/>
    <n v="9.04620668123634"/>
    <n v="3.6723384327193256"/>
    <n v="5.9651108335935055"/>
    <n v="5.4441148922884794"/>
    <n v="2.8625507336871681"/>
    <n v="25"/>
    <n v="0"/>
    <n v="5.0616609428660624"/>
    <n v="7.2490633780830471"/>
    <n v="4.0001561036528255"/>
    <n v="4.0001561036528255"/>
    <n v="11.061895098345301"/>
    <n v="8.6130190446456449"/>
    <n v="9.4052450827349343"/>
    <n v="13.366375273181392"/>
    <n v="1.1941929441148922"/>
    <n v="7.6842023103340606"/>
    <n v="4.2772400874180461"/>
    <n v="17.136278488916641"/>
    <n v="8.7652201061504833"/>
    <n v="0.89759600374648763"/>
    <m/>
  </r>
  <r>
    <n v="2017"/>
    <x v="10"/>
    <n v="0.05"/>
    <n v="0.25"/>
    <s v="Apoya "/>
    <x v="57"/>
    <x v="57"/>
    <s v="Consejo Nacional de la Judicatura: Dirección de Personal"/>
    <n v="2016"/>
    <s v="Tasa x 1.000.000 hab."/>
    <n v="182.55171000000001"/>
    <n v="378.08634000000001"/>
    <n v="419.6429"/>
    <n v="407.23541999999998"/>
    <n v="250.43716000000001"/>
    <n v="275.21235999999999"/>
    <n v="279.32724000000002"/>
    <n v="230.63593"/>
    <n v="570.15251999999998"/>
    <n v="236.2901"/>
    <n v="334.43176999999997"/>
    <n v="325.83827000000002"/>
    <n v="244.44399000000001"/>
    <n v="201.38844"/>
    <n v="334.20558999999997"/>
    <n v="400.17959000000002"/>
    <n v="258.31905"/>
    <n v="483.69265000000001"/>
    <n v="318.37259"/>
    <n v="292.93606"/>
    <n v="299.79899999999998"/>
    <n v="465.73973000000001"/>
    <n v="525.6019"/>
    <n v="260.86034999999998"/>
    <n v="299.79899999999998"/>
    <n v="332.30752749999994"/>
    <n v="103.76419655093915"/>
    <n v="0.31225352411235752"/>
    <n v="7.7799999999999994E-2"/>
    <n v="570.15251999999998"/>
    <n v="182.55171000000001"/>
    <n v="3.1232384511763813"/>
    <n v="570.15251999999998"/>
    <n v="0"/>
    <n v="50.447425535565834"/>
    <n v="61.168909837933519"/>
    <n v="57.967812296367484"/>
    <n v="17.514269384524763"/>
    <n v="23.906206491157743"/>
    <n v="24.96783481954024"/>
    <n v="12.405603589940895"/>
    <n v="100"/>
    <n v="13.86436473133273"/>
    <n v="39.184660114616364"/>
    <n v="36.967559484718315"/>
    <n v="15.968047125598114"/>
    <n v="4.8598273053144521"/>
    <n v="39.126306263395058"/>
    <n v="56.147426523695863"/>
    <n v="19.547776486844803"/>
    <n v="77.693578607330565"/>
    <n v="35.041433478944484"/>
    <n v="28.478874953847487"/>
    <n v="30.249495608639197"/>
    <n v="73.061771981333067"/>
    <n v="88.506056011596058"/>
    <n v="20.203425271479688"/>
    <n v="100"/>
    <n v="0"/>
    <n v="38.636611079321526"/>
    <n v="26.770892597190148"/>
    <n v="0.69288925320673478"/>
    <n v="0"/>
    <n v="0.630592819194573"/>
    <n v="0.76461137297416903"/>
    <n v="0.72459765370459361"/>
    <n v="0.21892836730655954"/>
    <n v="0.29882758113947178"/>
    <n v="0.312097935244253"/>
    <n v="0.15507004487426121"/>
    <n v="1.25"/>
    <n v="0.17330455914165913"/>
    <n v="0.48980825143270457"/>
    <n v="0.46209449355897897"/>
    <n v="0.19960058906997644"/>
    <n v="6.0747841316430656E-2"/>
    <n v="0.48907882829243826"/>
    <n v="0.70184283154619831"/>
    <n v="0.24434720608556004"/>
    <n v="0.97116973259163208"/>
    <n v="0.43801791848680605"/>
    <n v="0.3559859369230936"/>
    <n v="0.37811869510799001"/>
    <n v="0.91327214976666338"/>
    <n v="1.1063257001449507"/>
    <n v="0.25254281589349609"/>
    <n v="1.25"/>
    <n v="0"/>
    <n v="12.611856383891459"/>
    <n v="15.29222745948338"/>
    <n v="14.491953074091871"/>
    <n v="4.3785673461311907"/>
    <n v="5.9765516227894357"/>
    <n v="6.24195870488506"/>
    <n v="3.1014008974852239"/>
    <n v="25"/>
    <n v="3.4660911828331824"/>
    <n v="9.7961650286540909"/>
    <n v="9.2418898711795787"/>
    <n v="3.9920117813995284"/>
    <n v="1.214956826328613"/>
    <n v="9.7815765658487646"/>
    <n v="14.036856630923966"/>
    <n v="4.8869441217112009"/>
    <n v="19.423394651832641"/>
    <n v="8.7603583697361209"/>
    <n v="7.1197187384618719"/>
    <n v="7.5623739021597993"/>
    <n v="18.265442995333267"/>
    <n v="22.126514002899015"/>
    <n v="5.050856317869922"/>
    <m/>
  </r>
  <r>
    <n v="2017"/>
    <x v="11"/>
    <n v="0.1"/>
    <n v="0.16666666666666666"/>
    <s v="Apoya "/>
    <x v="58"/>
    <x v="58"/>
    <s v="http://www.ecuadorencifras.gob.ec/informacion-censal-cantonal/_x000a__x000a_Tabulados censales/  Población, superficie (km2), densidad poblacional a nivel provincial"/>
    <n v="2010"/>
    <s v="#"/>
    <n v="86"/>
    <n v="47"/>
    <n v="72"/>
    <n v="44"/>
    <n v="71"/>
    <n v="67"/>
    <n v="104"/>
    <n v="33"/>
    <n v="3"/>
    <n v="236"/>
    <n v="87"/>
    <n v="41"/>
    <n v="108"/>
    <n v="72"/>
    <n v="6"/>
    <n v="8"/>
    <n v="6"/>
    <n v="3"/>
    <n v="270"/>
    <n v="10"/>
    <n v="149"/>
    <n v="9"/>
    <n v="84"/>
    <n v="107"/>
    <n v="149"/>
    <n v="56"/>
    <n v="69.218607178345806"/>
    <n v="1.2360465567561751"/>
    <e v="#REF!"/>
    <n v="270"/>
    <n v="3"/>
    <n v="90"/>
    <n v="270"/>
    <n v="31.086142322097377"/>
    <n v="16.479400749063668"/>
    <n v="25.842696629213485"/>
    <n v="15.355805243445692"/>
    <n v="25.468164794007492"/>
    <n v="23.970037453183522"/>
    <n v="37.827715355805239"/>
    <n v="11.235955056179774"/>
    <n v="0"/>
    <n v="87.265917602996254"/>
    <n v="31.460674157303369"/>
    <n v="14.232209737827715"/>
    <n v="39.325842696629216"/>
    <n v="25.842696629213485"/>
    <n v="1.1235955056179776"/>
    <n v="1.8726591760299627"/>
    <n v="1.1235955056179776"/>
    <n v="0"/>
    <n v="100"/>
    <n v="2.6217228464419478"/>
    <n v="54.68164794007491"/>
    <n v="2.2471910112359552"/>
    <n v="30.337078651685395"/>
    <n v="38.951310861423224"/>
    <n v="100"/>
    <n v="0"/>
    <n v="25.764669163545562"/>
    <n v="25.924571976908545"/>
    <n v="1.0062062824229558"/>
    <n v="0.51810237203495624"/>
    <n v="0.27465667915106112"/>
    <n v="0.43071161048689144"/>
    <n v="0.25593008739076151"/>
    <n v="0.42446941323345821"/>
    <n v="0.39950062421972532"/>
    <n v="0.63046192259675404"/>
    <n v="0.18726591760299621"/>
    <n v="0"/>
    <n v="1.4544319600499374"/>
    <n v="0.52434456928838946"/>
    <n v="0.23720349563046189"/>
    <n v="0.65543071161048694"/>
    <n v="0.43071161048689144"/>
    <n v="1.8726591760299626E-2"/>
    <n v="3.1210986267166042E-2"/>
    <n v="1.8726591760299626E-2"/>
    <n v="0"/>
    <n v="1.6666666666666665"/>
    <n v="4.3695380774032462E-2"/>
    <n v="0.91136079900124856"/>
    <n v="3.7453183520599252E-2"/>
    <n v="0.5056179775280899"/>
    <n v="0.64918851435705371"/>
    <n v="1.6666666666666665"/>
    <n v="5.1810237203495628"/>
    <n v="2.7465667915106113"/>
    <n v="4.3071161048689142"/>
    <n v="2.5593008739076151"/>
    <n v="4.2446941323345815"/>
    <n v="3.9950062421972534"/>
    <n v="6.3046192259675395"/>
    <n v="1.8726591760299622"/>
    <n v="0"/>
    <n v="14.544319600499374"/>
    <n v="5.2434456928838946"/>
    <n v="2.3720349563046188"/>
    <n v="6.5543071161048694"/>
    <n v="4.3071161048689142"/>
    <n v="0.18726591760299627"/>
    <n v="0.31210986267166041"/>
    <n v="0.18726591760299627"/>
    <n v="0"/>
    <n v="16.666666666666664"/>
    <n v="0.43695380774032461"/>
    <n v="9.1136079900124844"/>
    <n v="0.37453183520599254"/>
    <n v="5.0561797752808992"/>
    <n v="6.4918851435705367"/>
    <m/>
  </r>
  <r>
    <n v="2017"/>
    <x v="11"/>
    <n v="0.1"/>
    <n v="0.16666666666666666"/>
    <s v="Apoya "/>
    <x v="59"/>
    <x v="59"/>
    <s v="http://www.ecuadorencifras.gob.ec/informacion-censal-cantonal/_x000a__x000a_tabulados censales/ Población por área, según provincia, cantón y parroquia de empadronamiento"/>
    <n v="2010"/>
    <s v="%"/>
    <n v="0.53420000000000001"/>
    <n v="0.2838"/>
    <n v="0.42649999999999999"/>
    <n v="0.50139999999999996"/>
    <n v="0.41470000000000001"/>
    <n v="0.28710000000000002"/>
    <n v="0.78190000000000004"/>
    <n v="0.50249999999999995"/>
    <n v="0.98529999999999995"/>
    <n v="0.84570000000000001"/>
    <n v="0.6048"/>
    <n v="0.58040000000000003"/>
    <n v="0.58650000000000002"/>
    <n v="0.61"/>
    <n v="0.35310000000000002"/>
    <n v="0.3458"/>
    <n v="0.43780000000000002"/>
    <n v="0.51029999999999998"/>
    <n v="0.69589999999999996"/>
    <n v="0.43669999999999998"/>
    <n v="0.43730000000000002"/>
    <n v="0.4108"/>
    <n v="0.55300000000000005"/>
    <n v="0.73599999999999999"/>
    <n v="0.43730000000000002"/>
    <n v="0.53589583333333335"/>
    <n v="0.17552792786375873"/>
    <n v="0.32754113196207357"/>
    <e v="#REF!"/>
    <n v="0.98529999999999995"/>
    <n v="0.2838"/>
    <n v="3.4718111346018321"/>
    <n v="0.98529999999999995"/>
    <n v="35.694939415538137"/>
    <n v="0"/>
    <n v="20.342124019957232"/>
    <n v="31.019244476122587"/>
    <n v="18.6600142551675"/>
    <n v="0.470420527441201"/>
    <n v="71.004989308624374"/>
    <n v="31.176051318602987"/>
    <n v="100"/>
    <n v="80.099786172487526"/>
    <n v="45.759087669280113"/>
    <n v="42.280826799714902"/>
    <n v="43.150392017106206"/>
    <n v="46.500356379187451"/>
    <n v="9.8788310762651506"/>
    <n v="8.8382038488952244"/>
    <n v="21.952957947255882"/>
    <n v="32.287954383464005"/>
    <n v="58.745545260156803"/>
    <n v="21.796151104775475"/>
    <n v="21.881682109764792"/>
    <n v="18.104062722736991"/>
    <n v="38.374910905203144"/>
    <n v="64.461867426942263"/>
    <n v="100"/>
    <n v="0"/>
    <n v="35.936683297695417"/>
    <n v="25.021800123130255"/>
    <n v="0.69627460931362239"/>
    <n v="0.59491565692563564"/>
    <n v="0"/>
    <n v="0.33903540033262058"/>
    <n v="0.51698740793537645"/>
    <n v="0.31100023758612499"/>
    <n v="7.8403421240200166E-3"/>
    <n v="1.1834164884770728"/>
    <n v="0.51960085531004974"/>
    <n v="1.6666666666666665"/>
    <n v="1.3349964362081255"/>
    <n v="0.76265146115466864"/>
    <n v="0.70468044666191498"/>
    <n v="0.71917320028510345"/>
    <n v="0.77500593965312414"/>
    <n v="0.16464718460441918"/>
    <n v="0.14730339748158708"/>
    <n v="0.36588263245426467"/>
    <n v="0.53813257305773343"/>
    <n v="0.9790924210026134"/>
    <n v="0.36326918507959127"/>
    <n v="0.36469470182941321"/>
    <n v="0.30173437871228315"/>
    <n v="0.63958184842005239"/>
    <n v="1.0743644571157045"/>
    <n v="1.6666666666666665"/>
    <n v="5.9491565692563562"/>
    <n v="0"/>
    <n v="3.3903540033262054"/>
    <n v="5.1698740793537645"/>
    <n v="3.1100023758612498"/>
    <n v="7.8403421240200166E-2"/>
    <n v="11.834164884770729"/>
    <n v="5.1960085531004978"/>
    <n v="16.666666666666664"/>
    <n v="13.349964362081254"/>
    <n v="7.6265146115466855"/>
    <n v="7.0468044666191503"/>
    <n v="7.1917320028510341"/>
    <n v="7.7500593965312419"/>
    <n v="1.6464718460441916"/>
    <n v="1.4730339748158707"/>
    <n v="3.6588263245426469"/>
    <n v="5.3813257305773341"/>
    <n v="9.7909242100261338"/>
    <n v="3.6326918507959123"/>
    <n v="3.6469470182941319"/>
    <n v="3.0173437871228317"/>
    <n v="6.3958184842005235"/>
    <n v="10.743644571157043"/>
    <m/>
  </r>
  <r>
    <n v="2017"/>
    <x v="11"/>
    <n v="0.1"/>
    <n v="0.16666666666666666"/>
    <s v="Apoya "/>
    <x v="60"/>
    <x v="60"/>
    <s v="http://www.ecuadorencifras.gob.ec/censo-de-poblacion-y-vivienda/_x000a__x000a_Resultados provinciales (Datos tomados de cada pestaña por provincia)_x000a_"/>
    <n v="2010"/>
    <s v="%"/>
    <n v="0.55420000000000003"/>
    <n v="0.50219999999999998"/>
    <n v="0.49440000000000001"/>
    <n v="0.51790000000000003"/>
    <n v="0.54920000000000002"/>
    <n v="0.54200000000000004"/>
    <n v="0.52669999999999995"/>
    <n v="0.49390000000000001"/>
    <n v="0.63239999999999996"/>
    <n v="0.51670000000000005"/>
    <n v="0.53459999999999996"/>
    <n v="0.49419999999999997"/>
    <n v="0.48080000000000001"/>
    <n v="0.46"/>
    <n v="0.54349999999999998"/>
    <n v="0.54479999999999995"/>
    <n v="0.54669999999999996"/>
    <n v="0.53490000000000004"/>
    <n v="0.5968"/>
    <n v="0.53800000000000003"/>
    <n v="0.59589999999999999"/>
    <n v="0.52790000000000004"/>
    <n v="0.45829999999999999"/>
    <n v="0.52649999999999997"/>
    <n v="0.59589999999999999"/>
    <n v="0.52968749999999998"/>
    <n v="4.097375949789455E-2"/>
    <n v="7.7354590202514784E-2"/>
    <e v="#REF!"/>
    <n v="0.63239999999999996"/>
    <n v="0.45829999999999999"/>
    <n v="1.3798821732489635"/>
    <n v="0.63239999999999996"/>
    <n v="55.083285468121801"/>
    <n v="25.215393452039059"/>
    <n v="20.735209649626665"/>
    <n v="34.233199310740979"/>
    <n v="52.211372774267694"/>
    <n v="48.075818495117787"/>
    <n v="39.287765651924168"/>
    <n v="20.448018380241255"/>
    <n v="100"/>
    <n v="33.543940264216012"/>
    <n v="43.825387708213661"/>
    <n v="20.620333141872482"/>
    <n v="12.923607122343494"/>
    <n v="0.97645031591041642"/>
    <n v="48.937392303273988"/>
    <n v="49.684089603676036"/>
    <n v="50.775416427340602"/>
    <n v="43.99770246984496"/>
    <n v="79.551981619758777"/>
    <n v="45.778288340034493"/>
    <n v="79.035037334865038"/>
    <n v="39.977024698449206"/>
    <n v="0"/>
    <n v="39.172889144170014"/>
    <n v="100"/>
    <n v="0"/>
    <n v="41.003733486502021"/>
    <n v="23.534612003385739"/>
    <n v="0.57396266150088682"/>
    <n v="0.91805475780202994"/>
    <n v="0.42025655753398433"/>
    <n v="0.34558682749377773"/>
    <n v="0.57055332184568297"/>
    <n v="0.87018954623779499"/>
    <n v="0.8012636415852965"/>
    <n v="0.65479609419873608"/>
    <n v="0.34080030633735425"/>
    <n v="1.6666666666666665"/>
    <n v="0.55906567107026683"/>
    <n v="0.73042312847022761"/>
    <n v="0.34367221903120804"/>
    <n v="0.21539345203905824"/>
    <n v="1.6274171931840276E-2"/>
    <n v="0.81562320505456642"/>
    <n v="0.82806816006126738"/>
    <n v="0.84625694045567679"/>
    <n v="0.73329504116408262"/>
    <n v="1.325866360329313"/>
    <n v="0.76297147233390827"/>
    <n v="1.3172506222477507"/>
    <n v="0.66628374497415344"/>
    <n v="0"/>
    <n v="0.65288148573616689"/>
    <n v="1.6666666666666665"/>
    <n v="9.180547578020299"/>
    <n v="4.2025655753398432"/>
    <n v="3.4558682749377772"/>
    <n v="5.7055332184568295"/>
    <n v="8.7018954623779479"/>
    <n v="8.0126364158529633"/>
    <n v="6.5479609419873608"/>
    <n v="3.4080030633735423"/>
    <n v="16.666666666666664"/>
    <n v="5.5906567107026683"/>
    <n v="7.3042312847022766"/>
    <n v="3.4367221903120804"/>
    <n v="2.1539345203905822"/>
    <n v="0.16274171931840273"/>
    <n v="8.1562320505456647"/>
    <n v="8.280681600612672"/>
    <n v="8.462569404556767"/>
    <n v="7.3329504116408266"/>
    <n v="13.25866360329313"/>
    <n v="7.6297147233390818"/>
    <n v="13.172506222477505"/>
    <n v="6.6628374497415344"/>
    <n v="0"/>
    <n v="6.5288148573616684"/>
    <m/>
  </r>
  <r>
    <n v="2017"/>
    <x v="11"/>
    <n v="0.1"/>
    <n v="0.16666666666666666"/>
    <s v="Apoya "/>
    <x v="61"/>
    <x v="61"/>
    <m/>
    <n v="2014"/>
    <s v="%"/>
    <n v="0.73299999999999998"/>
    <n v="0.39300000000000002"/>
    <n v="0.60499999999999998"/>
    <n v="0.622"/>
    <n v="0.34100000000000003"/>
    <n v="0.438"/>
    <n v="0.66500000000000004"/>
    <n v="0.40200000000000002"/>
    <n v="0.81799999999999995"/>
    <n v="0.70599999999999996"/>
    <n v="0.66500000000000004"/>
    <n v="0.57199999999999995"/>
    <n v="0.41299999999999998"/>
    <n v="0.41699999999999998"/>
    <n v="0.39300000000000002"/>
    <n v="0.41499999999999998"/>
    <n v="0.33700000000000002"/>
    <n v="0.48199999999999998"/>
    <n v="0.878"/>
    <n v="0.29599999999999999"/>
    <n v="0.629"/>
    <n v="0.46200000000000002"/>
    <n v="0.66500000000000004"/>
    <n v="0.42499999999999999"/>
    <n v="0.629"/>
    <n v="0.53216666666666657"/>
    <n v="0.16207852811326479"/>
    <n v="0.30456347280914153"/>
    <e v="#REF!"/>
    <n v="0.878"/>
    <n v="0.29599999999999999"/>
    <n v="2.9662162162162162"/>
    <n v="0.878"/>
    <n v="75.085910652920944"/>
    <n v="16.666666666666668"/>
    <n v="53.092783505154628"/>
    <n v="56.013745704467347"/>
    <n v="7.7319587628866042"/>
    <n v="24.398625429553263"/>
    <n v="63.402061855670098"/>
    <n v="18.213058419243993"/>
    <n v="89.69072164948453"/>
    <n v="70.446735395188981"/>
    <n v="63.402061855670098"/>
    <n v="47.422680412371122"/>
    <n v="20.103092783505151"/>
    <n v="20.790378006872849"/>
    <n v="16.666666666666668"/>
    <n v="20.446735395189002"/>
    <n v="7.0446735395189055"/>
    <n v="31.958762886597935"/>
    <n v="100"/>
    <n v="0"/>
    <n v="57.21649484536082"/>
    <n v="28.522336769759455"/>
    <n v="63.402061855670098"/>
    <n v="22.164948453608247"/>
    <n v="100"/>
    <n v="0"/>
    <n v="40.578465063001147"/>
    <n v="27.848544349358175"/>
    <n v="0.68628875700747172"/>
    <n v="1.2514318442153489"/>
    <n v="0.27777777777777779"/>
    <n v="0.8848797250859104"/>
    <n v="0.93356242840778914"/>
    <n v="0.1288659793814434"/>
    <n v="0.40664375715922108"/>
    <n v="1.0567010309278349"/>
    <n v="0.30355097365406652"/>
    <n v="1.4948453608247423"/>
    <n v="1.174112256586483"/>
    <n v="1.0567010309278349"/>
    <n v="0.79037800687285209"/>
    <n v="0.3350515463917525"/>
    <n v="0.34650630011454747"/>
    <n v="0.27777777777777779"/>
    <n v="0.34077892325315001"/>
    <n v="0.11741122565864844"/>
    <n v="0.53264604810996552"/>
    <n v="1.6666666666666665"/>
    <n v="0"/>
    <n v="0.95360824742268036"/>
    <n v="0.47537227949599092"/>
    <n v="1.0567010309278349"/>
    <n v="0.36941580756013748"/>
    <n v="1.6666666666666665"/>
    <n v="12.51431844215349"/>
    <n v="2.7777777777777777"/>
    <n v="8.8487972508591035"/>
    <n v="9.3356242840778911"/>
    <n v="1.288659793814434"/>
    <n v="4.0664375715922105"/>
    <n v="10.567010309278349"/>
    <n v="3.0355097365406651"/>
    <n v="14.948453608247421"/>
    <n v="11.741122565864829"/>
    <n v="10.567010309278349"/>
    <n v="7.90378006872852"/>
    <n v="3.350515463917525"/>
    <n v="3.4650630011454746"/>
    <n v="2.7777777777777777"/>
    <n v="3.4077892325315"/>
    <n v="1.1741122565864841"/>
    <n v="5.3264604810996552"/>
    <n v="16.666666666666664"/>
    <n v="0"/>
    <n v="9.5360824742268022"/>
    <n v="4.7537227949599092"/>
    <n v="10.567010309278349"/>
    <n v="3.6941580756013743"/>
    <m/>
  </r>
  <r>
    <n v="2017"/>
    <x v="11"/>
    <n v="0.1"/>
    <n v="0.16666666666666666"/>
    <s v="Apoya "/>
    <x v="62"/>
    <x v="62"/>
    <s v="Resultados provinciales (Datos tomados de cada pestaña por provincia)"/>
    <n v="2014"/>
    <s v="%"/>
    <n v="0.99399999999999999"/>
    <n v="0.96299999999999997"/>
    <n v="0.98899999999999999"/>
    <n v="0.996"/>
    <n v="0.97299999999999998"/>
    <n v="0.98099999999999998"/>
    <n v="0.99099999999999999"/>
    <n v="0.95799999999999996"/>
    <n v="0.997"/>
    <n v="0.99099999999999999"/>
    <n v="0.98799999999999999"/>
    <n v="0.98399999999999999"/>
    <n v="0.97699999999999998"/>
    <n v="0.97299999999999998"/>
    <n v="0.83"/>
    <n v="0.93500000000000005"/>
    <n v="0.89200000000000002"/>
    <n v="0.86299999999999999"/>
    <n v="0.998"/>
    <n v="0.92800000000000005"/>
    <n v="0.997"/>
    <n v="0.96099999999999997"/>
    <n v="0.98899999999999999"/>
    <n v="0.98799999999999999"/>
    <n v="0.997"/>
    <n v="0.96400000000000008"/>
    <n v="4.4556754233517577E-2"/>
    <n v="4.6220699412362627E-2"/>
    <e v="#REF!"/>
    <n v="0.998"/>
    <n v="0.83"/>
    <n v="1.2024096385542169"/>
    <n v="0.998"/>
    <n v="97.61904761904762"/>
    <n v="79.166666666666657"/>
    <n v="94.642857142857139"/>
    <n v="98.80952380952381"/>
    <n v="85.119047619047606"/>
    <n v="89.88095238095238"/>
    <n v="95.833333333333329"/>
    <n v="76.190476190476176"/>
    <n v="99.404761904761912"/>
    <n v="95.833333333333329"/>
    <n v="94.047619047619051"/>
    <n v="91.666666666666657"/>
    <n v="87.499999999999986"/>
    <n v="85.119047619047606"/>
    <n v="0"/>
    <n v="62.500000000000043"/>
    <n v="36.904761904761926"/>
    <n v="19.642857142857157"/>
    <n v="100"/>
    <n v="58.333333333333371"/>
    <n v="99.404761904761912"/>
    <n v="77.976190476190467"/>
    <n v="94.642857142857139"/>
    <n v="94.047619047619051"/>
    <n v="100"/>
    <n v="0"/>
    <n v="79.761904761904759"/>
    <n v="26.521877519950912"/>
    <n v="0.33251309129490697"/>
    <n v="1.626984126984127"/>
    <n v="1.3194444444444442"/>
    <n v="1.5773809523809521"/>
    <n v="1.6468253968253967"/>
    <n v="1.4186507936507935"/>
    <n v="1.498015873015873"/>
    <n v="1.5972222222222223"/>
    <n v="1.2698412698412695"/>
    <n v="1.6567460317460319"/>
    <n v="1.5972222222222223"/>
    <n v="1.5674603174603174"/>
    <n v="1.5277777777777777"/>
    <n v="1.458333333333333"/>
    <n v="1.4186507936507935"/>
    <n v="0"/>
    <n v="1.0416666666666674"/>
    <n v="0.61507936507936545"/>
    <n v="0.32738095238095261"/>
    <n v="1.6666666666666665"/>
    <n v="0.97222222222222288"/>
    <n v="1.6567460317460319"/>
    <n v="1.2996031746031744"/>
    <n v="1.5773809523809521"/>
    <n v="1.5674603174603174"/>
    <n v="1.6666666666666665"/>
    <n v="16.269841269841269"/>
    <n v="13.194444444444443"/>
    <n v="15.773809523809522"/>
    <n v="16.468253968253968"/>
    <n v="14.186507936507933"/>
    <n v="14.980158730158729"/>
    <n v="15.972222222222221"/>
    <n v="12.698412698412696"/>
    <n v="16.567460317460316"/>
    <n v="15.972222222222221"/>
    <n v="15.674603174603174"/>
    <n v="15.277777777777775"/>
    <n v="14.58333333333333"/>
    <n v="14.186507936507933"/>
    <n v="0"/>
    <n v="10.416666666666673"/>
    <n v="6.1507936507936538"/>
    <n v="3.2738095238095259"/>
    <n v="16.666666666666664"/>
    <n v="9.7222222222222285"/>
    <n v="16.567460317460316"/>
    <n v="12.996031746031743"/>
    <n v="15.773809523809522"/>
    <n v="15.674603174603174"/>
    <m/>
  </r>
  <r>
    <n v="2017"/>
    <x v="11"/>
    <n v="0.1"/>
    <n v="0.16666666666666666"/>
    <s v="Destruye"/>
    <x v="63"/>
    <x v="63"/>
    <s v="Consejo Nacional de Elecrificación (CONELEC)"/>
    <n v="2017"/>
    <s v="$"/>
    <n v="9.9399999999999988E-2"/>
    <n v="9.9700000000000011E-2"/>
    <n v="0.10249999999999999"/>
    <n v="0.10460000000000001"/>
    <n v="0.10679999999999999"/>
    <n v="0.1026"/>
    <n v="0.1017"/>
    <n v="9.69E-2"/>
    <n v="0.10970000000000001"/>
    <n v="0.10310000000000001"/>
    <n v="0.10460000000000001"/>
    <n v="0.10890000000000001"/>
    <n v="9.4E-2"/>
    <n v="9.3000000000000013E-2"/>
    <n v="0.10390000000000001"/>
    <n v="9.5100000000000004E-2"/>
    <n v="0.1014"/>
    <n v="0.1014"/>
    <n v="9.5100000000000004E-2"/>
    <n v="0.10199999999999999"/>
    <n v="0.1026"/>
    <n v="0.10890000000000001"/>
    <n v="0.1061"/>
    <n v="0.1056"/>
    <n v="0.1026"/>
    <n v="0.10206666666666668"/>
    <n v="4.6886232953604959E-3"/>
    <n v="4.59368709538912E-2"/>
    <e v="#REF!"/>
    <n v="0.10970000000000001"/>
    <n v="9.3000000000000013E-2"/>
    <n v="1.1795698924731182"/>
    <n v="9.3000000000000013E-2"/>
    <n v="61.676646706586958"/>
    <n v="59.880239520958078"/>
    <n v="43.113772455089915"/>
    <n v="30.538922155688596"/>
    <n v="17.365269461077943"/>
    <n v="42.514970059880305"/>
    <n v="47.904191616766532"/>
    <n v="76.646706586826411"/>
    <n v="0"/>
    <n v="39.520958083832326"/>
    <n v="30.538922155688596"/>
    <n v="4.7904191616766241"/>
    <n v="94.01197604790427"/>
    <n v="100"/>
    <n v="34.730538922155702"/>
    <n v="87.425149700598851"/>
    <n v="49.700598802395248"/>
    <n v="49.700598802395248"/>
    <n v="87.425149700598851"/>
    <n v="46.107784431137823"/>
    <n v="42.514970059880305"/>
    <n v="4.7904191616766241"/>
    <n v="21.556886227544965"/>
    <n v="24.550898203592865"/>
    <n v="100"/>
    <n v="0"/>
    <n v="45.708582834331374"/>
    <n v="28.075588594973031"/>
    <n v="0.61423012602975879"/>
    <n v="1.0279441117764492"/>
    <n v="0.99800399201596801"/>
    <n v="0.71856287425149867"/>
    <n v="0.50898203592814328"/>
    <n v="0.28942115768463239"/>
    <n v="0.70858283433133851"/>
    <n v="0.79840319361277556"/>
    <n v="1.2774451097804402"/>
    <n v="0"/>
    <n v="0.65868263473053879"/>
    <n v="0.50898203592814328"/>
    <n v="7.9840319361277071E-2"/>
    <n v="1.5668662674650711"/>
    <n v="1.6666666666666665"/>
    <n v="0.57884231536926167"/>
    <n v="1.4570858283433141"/>
    <n v="0.82834331337325406"/>
    <n v="0.82834331337325406"/>
    <n v="1.4570858283433141"/>
    <n v="0.76846307385229706"/>
    <n v="0.70858283433133851"/>
    <n v="7.9840319361277071E-2"/>
    <n v="0.35928143712574939"/>
    <n v="0.40918163672654778"/>
    <n v="1.6666666666666665"/>
    <n v="10.279441117764492"/>
    <n v="9.9800399201596797"/>
    <n v="7.1856287425149858"/>
    <n v="5.0898203592814326"/>
    <n v="2.8942115768463239"/>
    <n v="7.0858283433133842"/>
    <n v="7.9840319361277547"/>
    <n v="12.774451097804402"/>
    <n v="0"/>
    <n v="6.5868263473053874"/>
    <n v="5.0898203592814326"/>
    <n v="0.79840319361277068"/>
    <n v="15.668662674650712"/>
    <n v="16.666666666666664"/>
    <n v="5.7884231536926167"/>
    <n v="14.570858283433141"/>
    <n v="8.2834331337325402"/>
    <n v="8.2834331337325402"/>
    <n v="14.570858283433141"/>
    <n v="7.6846307385229702"/>
    <n v="7.0858283433133842"/>
    <n v="0.79840319361277068"/>
    <n v="3.5928143712574938"/>
    <n v="4.091816367265477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n v="55.434288884426287"/>
    <n v="43.441651067617762"/>
    <n v="76.41402986100718"/>
    <n v="45.39235203231614"/>
    <n v="41.712380330867838"/>
    <n v="75.82068883367036"/>
    <n v="8.8146405922075974"/>
    <n v="40.827968000960567"/>
    <n v="36.781054277739024"/>
    <n v="24.187850384777683"/>
    <n v="59.374328697385472"/>
    <n v="53.278712508208059"/>
    <n v="47.750362781198334"/>
  </r>
  <r>
    <x v="1"/>
    <n v="34.38189172447467"/>
    <n v="7.1315725188494845"/>
    <n v="67.76218973104065"/>
    <n v="5.2703627652292955"/>
    <n v="15.105123117856001"/>
    <n v="68.520252219071125"/>
    <n v="2.8835177536475167"/>
    <n v="22.660080781362709"/>
    <n v="48.34038082608707"/>
    <n v="28.042750124673237"/>
    <n v="32.901394509232354"/>
    <n v="47.084417795590042"/>
    <n v="29.717243833219836"/>
  </r>
  <r>
    <x v="2"/>
    <n v="47.99667793666368"/>
    <n v="31.60417617878689"/>
    <n v="53.061494826993737"/>
    <n v="15.051379258329195"/>
    <n v="42.124271033701874"/>
    <n v="72.57768417448392"/>
    <n v="3.1141087396037648"/>
    <n v="21.211828446529225"/>
    <n v="36.710184920092637"/>
    <n v="55.239272929908687"/>
    <n v="42.961573900316516"/>
    <n v="47.879215920654516"/>
    <n v="37.035914498494733"/>
  </r>
  <r>
    <x v="3"/>
    <n v="29.354278162958181"/>
    <n v="15.945527691485792"/>
    <n v="48.039440287868018"/>
    <n v="16.508315152899154"/>
    <n v="30.969163589978894"/>
    <n v="69.115480625006995"/>
    <n v="10.523743121815599"/>
    <n v="20.209009355427533"/>
    <n v="41.02729930869571"/>
    <n v="48.538502722160324"/>
    <n v="44.328406783331502"/>
    <n v="41.555451267933165"/>
    <n v="32.836503438944057"/>
  </r>
  <r>
    <x v="4"/>
    <n v="45.838133721114446"/>
    <n v="37.944543791389293"/>
    <n v="78.001621523719052"/>
    <n v="21.358314866380166"/>
    <n v="39.265736116927734"/>
    <n v="64.50152349703842"/>
    <n v="2.5351655229673349"/>
    <n v="21.753220918093671"/>
    <n v="40.44942862404671"/>
    <n v="37.052583144122679"/>
    <n v="34.425971277742477"/>
    <n v="62.342505754102497"/>
    <n v="39.196682697318202"/>
  </r>
  <r>
    <x v="5"/>
    <n v="28.027966296754386"/>
    <n v="20.678046491906287"/>
    <n v="66.730110560407539"/>
    <n v="23.130795732182285"/>
    <n v="22.791524109681667"/>
    <n v="53.418521852718634"/>
    <n v="27.985914035271627"/>
    <n v="27.086035466728347"/>
    <n v="35.919340894704689"/>
    <n v="15.988962741411985"/>
    <n v="38.218470724354745"/>
    <n v="32.806599334436498"/>
    <n v="33.535411479801716"/>
  </r>
  <r>
    <x v="6"/>
    <n v="58.551913583832807"/>
    <n v="33.373468683659411"/>
    <n v="59.466182843310222"/>
    <n v="32.718826236183872"/>
    <n v="47.679285583442862"/>
    <n v="70.893353773522435"/>
    <n v="25.696342709304538"/>
    <n v="31.574120599908483"/>
    <n v="39.985356071638442"/>
    <n v="39.902236181301127"/>
    <n v="59.210009520353957"/>
    <n v="28.402203560057021"/>
    <n v="43.687953619820881"/>
  </r>
  <r>
    <x v="7"/>
    <n v="35.449770046105137"/>
    <n v="20.039651156458525"/>
    <n v="37.615748605438512"/>
    <n v="22.94850132267791"/>
    <n v="20.131725555148698"/>
    <n v="52.402139878535955"/>
    <n v="10.190280142922131"/>
    <n v="16.916211578868687"/>
    <n v="48.715997682336351"/>
    <n v="10.277264663899899"/>
    <n v="38.985044325261768"/>
    <n v="15.627820967938694"/>
    <n v="27.421869204610715"/>
  </r>
  <r>
    <x v="8"/>
    <n v="79.964392399555592"/>
    <n v="47.547021686748124"/>
    <n v="89.853417899929582"/>
    <n v="47.256519181103876"/>
    <n v="74.029681925442702"/>
    <n v="24.667058362710538"/>
    <n v="34.588247225839929"/>
    <n v="39.478535605991659"/>
    <n v="50"/>
    <n v="78.740250317897036"/>
    <n v="64.849247259041078"/>
    <n v="68.291430792095767"/>
    <n v="54.752643578223434"/>
  </r>
  <r>
    <x v="9"/>
    <n v="32.868514748600631"/>
    <n v="42.019014291409171"/>
    <n v="25.985485337513303"/>
    <n v="67.129352145025649"/>
    <n v="32.590112305645057"/>
    <n v="72.937120904801702"/>
    <n v="48.468861015080584"/>
    <n v="58.982295857430486"/>
    <n v="45.870857135991358"/>
    <n v="4.2577554880047375"/>
    <n v="67.785111808675751"/>
    <n v="32.450079127539574"/>
    <n v="47.833540790853192"/>
  </r>
  <r>
    <x v="10"/>
    <n v="61.060482317960719"/>
    <n v="33.874953162107523"/>
    <n v="47.057393937763777"/>
    <n v="25.490606838547297"/>
    <n v="52.930207951140041"/>
    <n v="70.035601866878295"/>
    <n v="19.227205647001888"/>
    <n v="36.215753539402016"/>
    <n v="42.457665346413563"/>
    <n v="45.373492792027356"/>
    <n v="51.50562543229583"/>
    <n v="66.898228095033318"/>
    <n v="43.470465525633784"/>
  </r>
  <r>
    <x v="11"/>
    <n v="51.917747831003183"/>
    <n v="20.138577731280769"/>
    <n v="42.825466440078465"/>
    <n v="23.178255664999831"/>
    <n v="28.386724855994412"/>
    <n v="60.977044891808504"/>
    <n v="4.0366926406847442E-2"/>
    <n v="19.596099345560066"/>
    <n v="31.652729935089518"/>
    <n v="19.848526100904159"/>
    <n v="36.835522653354914"/>
    <n v="66.425814998907455"/>
    <n v="31.277639438007913"/>
  </r>
  <r>
    <x v="12"/>
    <n v="40.471535582048411"/>
    <n v="31.952208020044747"/>
    <n v="31.185606853408366"/>
    <n v="20.953204116658611"/>
    <n v="29.25511159734895"/>
    <n v="57.036263076967685"/>
    <n v="13.657342699191002"/>
    <n v="22.647380652831458"/>
    <n v="47.560975609756106"/>
    <n v="38.538321374367811"/>
    <n v="49.502485111248056"/>
    <n v="23.265695665793974"/>
    <n v="33.245641445502997"/>
  </r>
  <r>
    <x v="13"/>
    <n v="37.120239027259231"/>
    <n v="19.0282919812215"/>
    <n v="50.544617501190992"/>
    <n v="24.86448833978141"/>
    <n v="21.122436683727681"/>
    <n v="61.802764809619589"/>
    <n v="17.468238048778058"/>
    <n v="28.737768046720692"/>
    <n v="49.314301937270919"/>
    <n v="10.000836479091461"/>
    <n v="46.538154825038639"/>
    <n v="24.856829692083213"/>
    <n v="32.970579145267791"/>
  </r>
  <r>
    <x v="14"/>
    <n v="36.471901139980915"/>
    <n v="21.137930110404461"/>
    <n v="68.7910406701927"/>
    <n v="14.086170050435873"/>
    <n v="54.198383458697762"/>
    <n v="44.759978409603498"/>
    <n v="0.99590557908401012"/>
    <n v="16.445318224507808"/>
    <n v="46.453532386813187"/>
    <n v="50.546380078405107"/>
    <n v="18.556170745663252"/>
    <n v="12.320977792866357"/>
    <n v="29.533706627347545"/>
  </r>
  <r>
    <x v="15"/>
    <n v="33.860137384586366"/>
    <n v="15.298410083637878"/>
    <n v="46.328498411071408"/>
    <n v="8.8619893064024389"/>
    <n v="42.494807102339834"/>
    <n v="45.092046531236313"/>
    <n v="3.8301203656502691"/>
    <n v="12.946020471393387"/>
    <n v="48.978773587953803"/>
    <n v="28.925593958837499"/>
    <n v="38.461139620731529"/>
    <n v="27.560086466229233"/>
    <n v="26.937712908191553"/>
  </r>
  <r>
    <x v="16"/>
    <n v="40.223611462571299"/>
    <n v="55.142956952798293"/>
    <n v="56.90917388057315"/>
    <n v="28.96793209774501"/>
    <n v="54.664802899120524"/>
    <n v="32.96747888318167"/>
    <n v="0.43359124897529111"/>
    <n v="20.116634877435551"/>
    <n v="48.524455421574508"/>
    <n v="43.102225250239115"/>
    <n v="27.91700068781509"/>
    <n v="11.919709125449563"/>
    <n v="34.92436491844007"/>
  </r>
  <r>
    <x v="17"/>
    <n v="43.965655057298569"/>
    <n v="22.036400969299923"/>
    <n v="66.291825928653367"/>
    <n v="15.065458459918075"/>
    <n v="38.246963807877812"/>
    <n v="45.182755115161413"/>
    <n v="1.3552522661752147"/>
    <n v="21.144117119493924"/>
    <n v="49.637398478331349"/>
    <n v="39.997969817535733"/>
    <n v="29.597979280859889"/>
    <n v="50.442985348992707"/>
    <n v="32.283747587922981"/>
  </r>
  <r>
    <x v="18"/>
    <n v="76.773191058661112"/>
    <n v="79.713315598302742"/>
    <n v="52.116710647134788"/>
    <n v="81.019166845981928"/>
    <n v="63.622607841463342"/>
    <n v="81.071609676744174"/>
    <n v="82.301898322812576"/>
    <n v="78.97715440132761"/>
    <n v="42.959669561547855"/>
    <n v="34.958992205532411"/>
    <n v="87.620446096752417"/>
    <n v="68.453370687455973"/>
    <n v="72.606087506553791"/>
  </r>
  <r>
    <x v="19"/>
    <n v="14.477820421511758"/>
    <n v="31.336607626209496"/>
    <n v="40.498723199875855"/>
    <n v="30.228009447273173"/>
    <n v="31.662392199583806"/>
    <n v="41.781858215559325"/>
    <n v="1.1767474699929396E-2"/>
    <n v="19.341171382457276"/>
    <n v="44.846090712618221"/>
    <n v="21.482916757676225"/>
    <n v="29.106213342620517"/>
    <n v="11.368062474127202"/>
    <n v="26.989129578455895"/>
  </r>
  <r>
    <x v="20"/>
    <n v="61.127621647540195"/>
    <n v="39.368689373214707"/>
    <n v="53.540284022661254"/>
    <n v="41.679039738057519"/>
    <n v="37.184862952778509"/>
    <n v="69.645563665503232"/>
    <n v="7.4656093449264995"/>
    <n v="34.237076763558335"/>
    <n v="43.541227854711167"/>
    <n v="41.828880689378742"/>
    <n v="59.122432365784626"/>
    <n v="53.424441801785072"/>
    <n v="44.329655743341036"/>
  </r>
  <r>
    <x v="21"/>
    <n v="43.102987031858511"/>
    <n v="8.4299880609960027"/>
    <n v="51.225804293993818"/>
    <n v="10.866953270392713"/>
    <n v="47.06226039825669"/>
    <n v="45.001998082064418"/>
    <n v="0.22699023351282843"/>
    <n v="15.69305166942673"/>
    <n v="48.396901501347713"/>
    <n v="40.504035007032002"/>
    <n v="28.602870806674787"/>
    <n v="33.433390860097987"/>
    <n v="27.051243784685575"/>
  </r>
  <r>
    <x v="22"/>
    <n v="42.957353435136831"/>
    <n v="36.218328108745787"/>
    <n v="46.530658609027512"/>
    <n v="22.878012383459886"/>
    <n v="44.61295658052579"/>
    <n v="60.752919907547295"/>
    <n v="8.8144343799153848"/>
    <n v="32.337785247655731"/>
    <n v="42.653623895217486"/>
    <n v="58.690096321824583"/>
    <n v="41.385632463826795"/>
    <n v="15.241720355645466"/>
    <n v="36.91048104487264"/>
  </r>
  <r>
    <x v="23"/>
    <n v="34.08846794997045"/>
    <n v="22.919239862557557"/>
    <n v="72.134573202243431"/>
    <n v="30.757113894813561"/>
    <n v="29.454344105000935"/>
    <n v="69.152632190589912"/>
    <n v="13.515419114088415"/>
    <n v="30.468269993574669"/>
    <n v="51.333589789961366"/>
    <n v="12.121947610419717"/>
    <n v="47.224922189559273"/>
    <n v="28.096174138035718"/>
    <n v="37.5179052175399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4" cacheId="1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CG3:CH29" firstHeaderRow="2" firstDataRow="2" firstDataCol="1"/>
  <pivotFields count="14">
    <pivotField axis="axisRow" showAll="0">
      <items count="25">
        <item x="18"/>
        <item x="8"/>
        <item x="10"/>
        <item x="11"/>
        <item x="4"/>
        <item x="20"/>
        <item x="0"/>
        <item x="17"/>
        <item x="2"/>
        <item x="1"/>
        <item x="3"/>
        <item x="21"/>
        <item x="5"/>
        <item x="9"/>
        <item x="6"/>
        <item x="23"/>
        <item x="15"/>
        <item x="13"/>
        <item x="12"/>
        <item x="7"/>
        <item x="22"/>
        <item x="14"/>
        <item x="16"/>
        <item x="19"/>
        <item t="default"/>
      </items>
    </pivotField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dataField="1" showAll="0" defaultSubtotal="0"/>
    <pivotField numFmtId="43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Promedio de Habilitantes de Innovación, Ciencia y Tecnología" fld="12" subtotal="average" baseField="0" baseItem="0"/>
  </dataFields>
  <formats count="2">
    <format dxfId="25">
      <pivotArea collapsedLevelsAreSubtotals="1" fieldPosition="0">
        <references count="1">
          <reference field="0" count="1">
            <x v="18"/>
          </reference>
        </references>
      </pivotArea>
    </format>
    <format dxfId="24">
      <pivotArea dataOnly="0" labelOnly="1" fieldPosition="0">
        <references count="1">
          <reference field="0" count="1">
            <x v="18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17" cacheId="1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C3:AD29" firstHeaderRow="2" firstDataRow="2" firstDataCol="1"/>
  <pivotFields count="14">
    <pivotField axis="axisRow" showAll="0">
      <items count="25">
        <item x="18"/>
        <item x="0"/>
        <item x="9"/>
        <item x="2"/>
        <item x="6"/>
        <item x="10"/>
        <item x="20"/>
        <item x="23"/>
        <item x="3"/>
        <item x="1"/>
        <item x="4"/>
        <item x="13"/>
        <item x="11"/>
        <item x="22"/>
        <item x="12"/>
        <item x="5"/>
        <item x="7"/>
        <item x="17"/>
        <item x="15"/>
        <item x="21"/>
        <item x="14"/>
        <item x="19"/>
        <item x="16"/>
        <item x="8"/>
        <item t="default"/>
      </items>
    </pivotField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  <pivotField numFmtId="43" showAll="0"/>
    <pivotField numFmtId="43" showAll="0"/>
    <pivotField numFmtId="43" showAll="0"/>
    <pivotField numFmtId="43" showAll="0"/>
    <pivotField numFmtId="43" showAll="0"/>
    <pivotField showAll="0" defaultSubtotal="0"/>
    <pivotField numFmtId="43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Promedio de Infraestructura y Localización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29" cacheId="1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BE3:BF29" firstHeaderRow="2" firstDataRow="2" firstDataCol="1"/>
  <pivotFields count="14">
    <pivotField axis="axisRow" showAll="0">
      <items count="25">
        <item x="8"/>
        <item x="18"/>
        <item x="20"/>
        <item x="10"/>
        <item x="6"/>
        <item x="0"/>
        <item x="11"/>
        <item x="2"/>
        <item x="4"/>
        <item x="17"/>
        <item x="21"/>
        <item x="22"/>
        <item x="12"/>
        <item x="16"/>
        <item x="13"/>
        <item x="14"/>
        <item x="7"/>
        <item x="1"/>
        <item x="23"/>
        <item x="15"/>
        <item x="9"/>
        <item x="3"/>
        <item x="5"/>
        <item x="19"/>
        <item t="default"/>
      </items>
    </pivotField>
    <pivotField dataField="1"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showAll="0" defaultSubtotal="0"/>
    <pivotField numFmtId="43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Promedio de Desarrollo Integral de las personas" fld="1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 dinámica3" cacheId="1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H3:I29" firstHeaderRow="2" firstDataRow="2" firstDataCol="1"/>
  <pivotFields count="14">
    <pivotField axis="axisRow" showAll="0">
      <items count="25">
        <item x="18"/>
        <item x="16"/>
        <item x="8"/>
        <item x="0"/>
        <item x="9"/>
        <item x="20"/>
        <item x="4"/>
        <item x="22"/>
        <item x="10"/>
        <item x="6"/>
        <item x="12"/>
        <item x="2"/>
        <item x="19"/>
        <item x="23"/>
        <item x="17"/>
        <item x="14"/>
        <item x="5"/>
        <item x="11"/>
        <item x="7"/>
        <item x="13"/>
        <item x="3"/>
        <item x="15"/>
        <item x="21"/>
        <item x="1"/>
        <item t="default"/>
      </items>
    </pivotField>
    <pivotField numFmtId="43" showAll="0"/>
    <pivotField dataField="1"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showAll="0" defaultSubtotal="0"/>
    <pivotField numFmtId="43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Promedio de Desempeño Económico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 dinámica19" cacheId="1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J3:AK29" firstHeaderRow="2" firstDataRow="2" firstDataCol="1"/>
  <pivotFields count="14">
    <pivotField axis="axisRow" showAll="0">
      <items count="25">
        <item x="18"/>
        <item x="9"/>
        <item x="8"/>
        <item x="5"/>
        <item x="6"/>
        <item x="10"/>
        <item x="13"/>
        <item x="12"/>
        <item x="23"/>
        <item x="3"/>
        <item x="7"/>
        <item x="0"/>
        <item x="22"/>
        <item x="20"/>
        <item x="15"/>
        <item x="2"/>
        <item x="1"/>
        <item x="4"/>
        <item x="17"/>
        <item x="14"/>
        <item x="16"/>
        <item x="21"/>
        <item x="11"/>
        <item x="19"/>
        <item t="default"/>
      </items>
    </pivotField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  <pivotField numFmtId="43" showAll="0"/>
    <pivotField numFmtId="43" showAll="0"/>
    <pivotField numFmtId="43" showAll="0"/>
    <pivotField numFmtId="43" showAll="0"/>
    <pivotField showAll="0" defaultSubtotal="0"/>
    <pivotField numFmtId="43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Promedio de Internacionalización y Apertura" fld="7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 dinámica5" cacheId="9" dataOnRows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3:N28" firstHeaderRow="1" firstDataRow="2" firstDataCol="1"/>
  <pivotFields count="122">
    <pivotField showAll="0"/>
    <pivotField axis="axisCol" showAll="0">
      <items count="14">
        <item x="0"/>
        <item x="1"/>
        <item x="2"/>
        <item x="3"/>
        <item x="4"/>
        <item x="5"/>
        <item m="1" x="12"/>
        <item x="7"/>
        <item x="8"/>
        <item x="9"/>
        <item x="10"/>
        <item x="11"/>
        <item x="6"/>
        <item t="default"/>
      </items>
    </pivotField>
    <pivotField numFmtId="9"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9" showAll="0"/>
    <pivotField showAll="0"/>
    <pivotField showAll="0"/>
    <pivotField showAll="0"/>
    <pivotField showAll="0"/>
    <pivotField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9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24">
    <dataField name="Promedio de 1. Azuay - Estandar" fld="43" subtotal="average" baseField="0" baseItem="0"/>
    <dataField name="Promedio de 2. Bolívar - Estándar " fld="44" subtotal="average" baseField="0" baseItem="0"/>
    <dataField name="Promedio de 3. Cañar - Estándar " fld="45" subtotal="average" baseField="0" baseItem="0"/>
    <dataField name="Promedio de 4. Carchi - Estándar " fld="46" subtotal="average" baseField="0" baseItem="0"/>
    <dataField name="Promedio de 5. Chimborazo - Estándar " fld="47" subtotal="average" baseField="0" baseItem="0"/>
    <dataField name="Promedio de 6. Cotopaxi - Estándar " fld="48" subtotal="average" baseField="0" baseItem="0"/>
    <dataField name="Promedio de 7. El Oro - Estándar " fld="49" subtotal="average" baseField="0" baseItem="0"/>
    <dataField name="Promedio de 8. Esmeraldas - Estándar " fld="50" subtotal="average" baseField="0" baseItem="0"/>
    <dataField name="Promedio de 9. Galápagos - Estándar " fld="51" subtotal="average" baseField="0" baseItem="0"/>
    <dataField name="Promedio de 10. Guayas - Estándar " fld="52" subtotal="average" baseField="0" baseItem="0"/>
    <dataField name="Promedio de 11. Imbabura -Estándar " fld="53" subtotal="average" baseField="0" baseItem="0"/>
    <dataField name="Promedio de 12. Loja - Estándar " fld="54" subtotal="average" baseField="0" baseItem="0"/>
    <dataField name="Promedio de 13. Los Ríos - Estándar " fld="55" subtotal="average" baseField="0" baseItem="0"/>
    <dataField name="Promedio de 14. Manabí - Estáncar " fld="56" subtotal="average" baseField="0" baseItem="0"/>
    <dataField name="Promedio de 15. Morona Santiago - Estáncar " fld="57" subtotal="average" baseField="0" baseItem="0"/>
    <dataField name="Promedio de 16. Napo - Estáncar " fld="58" subtotal="average" baseField="0" baseItem="0"/>
    <dataField name="Promedio de 17. Francisco de Orellana - Estándar " fld="59" subtotal="average" baseField="0" baseItem="0"/>
    <dataField name="Promedio de 18. Pastaza - Estáncar " fld="60" subtotal="average" baseField="0" baseItem="0"/>
    <dataField name="Promedio de 19. Pichincha - Estándar " fld="61" subtotal="average" baseField="0" baseItem="0"/>
    <dataField name="Promedio de 20. Sucumbíos - Estáncar " fld="62" subtotal="average" baseField="0" baseItem="0"/>
    <dataField name="Promedio de 21. Tungurahua - Estáncar " fld="63" subtotal="average" baseField="0" baseItem="0"/>
    <dataField name="Promedio de 22. Zamora Chinchipe - Estándar " fld="64" subtotal="average" baseField="0" baseItem="0"/>
    <dataField name="Promedio de 23. Santa Elena" fld="65" subtotal="average" baseField="0" baseItem="0"/>
    <dataField name="Promedio de 24. Santo Domingo de los Tsachilas" fld="66" subtotal="average" baseField="0" baseItem="0"/>
  </dataFields>
  <formats count="1">
    <format dxfId="23">
      <pivotArea collapsedLevelsAreSubtotals="1" fieldPosition="0">
        <references count="2">
          <reference field="4294967294" count="1">
            <x v="8"/>
          </reference>
          <reference field="1" count="1" selected="0">
            <x v="2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abla dinámica1" cacheId="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 rowHeaderCaption="Pilares">
  <location ref="B3:C17" firstHeaderRow="2" firstDataRow="2" firstDataCol="1"/>
  <pivotFields count="122">
    <pivotField showAll="0"/>
    <pivotField axis="axisRow" showAll="0">
      <items count="14">
        <item x="0"/>
        <item x="1"/>
        <item x="2"/>
        <item x="3"/>
        <item x="4"/>
        <item x="6"/>
        <item x="5"/>
        <item m="1" x="12"/>
        <item x="7"/>
        <item x="8"/>
        <item x="9"/>
        <item x="10"/>
        <item x="11"/>
        <item t="default"/>
      </items>
    </pivotField>
    <pivotField numFmtId="9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9"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Número de indicadores por pilar" fld="5" subtotal="count" baseField="0" baseItem="0"/>
  </dataFields>
  <formats count="7">
    <format dxfId="22">
      <pivotArea type="all" dataOnly="0" outline="0" fieldPosition="0"/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grandRow="1" outline="0" collapsedLevelsAreSubtotals="1" fieldPosition="0"/>
    </format>
    <format dxfId="16">
      <pivotArea dataOnly="0" labelOnly="1" grandRow="1" outline="0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5" cacheId="1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V3:W29" firstHeaderRow="2" firstDataRow="2" firstDataCol="1"/>
  <pivotFields count="14">
    <pivotField axis="axisRow" showAll="0">
      <items count="25">
        <item x="18"/>
        <item x="9"/>
        <item x="8"/>
        <item x="0"/>
        <item x="20"/>
        <item x="6"/>
        <item x="23"/>
        <item x="19"/>
        <item x="16"/>
        <item x="10"/>
        <item x="13"/>
        <item x="11"/>
        <item x="5"/>
        <item x="7"/>
        <item x="22"/>
        <item x="4"/>
        <item x="12"/>
        <item x="3"/>
        <item x="17"/>
        <item x="2"/>
        <item x="14"/>
        <item x="21"/>
        <item x="15"/>
        <item x="1"/>
        <item t="default"/>
      </items>
    </pivotField>
    <pivotField numFmtId="43" showAll="0"/>
    <pivotField numFmtId="43" showAll="0"/>
    <pivotField numFmtId="43" showAll="0"/>
    <pivotField dataField="1"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showAll="0" defaultSubtotal="0"/>
    <pivotField numFmtId="43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Promedio de Gestión Empresarial" fld="4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1" cacheId="1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BL3:BM29" firstHeaderRow="2" firstDataRow="2" firstDataCol="1"/>
  <pivotFields count="14">
    <pivotField axis="axisRow" showAll="0">
      <items count="25">
        <item x="8"/>
        <item x="18"/>
        <item x="16"/>
        <item x="14"/>
        <item x="10"/>
        <item x="6"/>
        <item x="21"/>
        <item x="22"/>
        <item x="15"/>
        <item x="2"/>
        <item x="0"/>
        <item x="4"/>
        <item x="17"/>
        <item x="20"/>
        <item x="9"/>
        <item x="19"/>
        <item x="3"/>
        <item x="23"/>
        <item x="12"/>
        <item x="11"/>
        <item x="5"/>
        <item x="13"/>
        <item x="7"/>
        <item x="1"/>
        <item t="default"/>
      </items>
    </pivotField>
    <pivotField numFmtId="43" showAll="0"/>
    <pivotField numFmtId="43" showAll="0"/>
    <pivotField numFmtId="43" showAll="0"/>
    <pivotField numFmtId="43" showAll="0"/>
    <pivotField dataField="1"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showAll="0" defaultSubtotal="0"/>
    <pivotField numFmtId="43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Promedio de Gestión, Gobiernos e Instituciones" fld="5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37" cacheId="1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BZ3:CA29" firstHeaderRow="2" firstDataRow="2" firstDataCol="1"/>
  <pivotFields count="14">
    <pivotField axis="axisRow" showAll="0">
      <items count="25">
        <item x="8"/>
        <item x="22"/>
        <item x="2"/>
        <item x="14"/>
        <item x="3"/>
        <item x="10"/>
        <item x="16"/>
        <item x="20"/>
        <item x="21"/>
        <item x="17"/>
        <item x="6"/>
        <item x="12"/>
        <item x="4"/>
        <item x="18"/>
        <item x="15"/>
        <item x="1"/>
        <item x="0"/>
        <item x="19"/>
        <item x="11"/>
        <item x="5"/>
        <item x="23"/>
        <item x="7"/>
        <item x="13"/>
        <item x="9"/>
        <item t="default"/>
      </items>
    </pivotField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  <pivotField numFmtId="43" showAll="0"/>
    <pivotField showAll="0" defaultSubtotal="0"/>
    <pivotField numFmtId="43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Promedio de Seguridad Jurídica" fld="10" subtotal="average" baseField="0" baseItem="0"/>
  </dataFields>
  <formats count="2">
    <format dxfId="27">
      <pivotArea collapsedLevelsAreSubtotals="1" fieldPosition="0">
        <references count="1">
          <reference field="0" count="1">
            <x v="11"/>
          </reference>
        </references>
      </pivotArea>
    </format>
    <format dxfId="26">
      <pivotArea dataOnly="0" labelOnly="1" fieldPosition="0">
        <references count="1">
          <reference field="0" count="1">
            <x v="1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5" cacheId="1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BS3:BT29" firstHeaderRow="2" firstDataRow="2" firstDataCol="1"/>
  <pivotFields count="14">
    <pivotField axis="axisRow" showAll="0">
      <items count="25">
        <item x="23"/>
        <item x="8"/>
        <item x="17"/>
        <item x="13"/>
        <item x="15"/>
        <item x="7"/>
        <item x="16"/>
        <item x="21"/>
        <item x="1"/>
        <item x="12"/>
        <item x="14"/>
        <item x="9"/>
        <item x="19"/>
        <item x="20"/>
        <item x="18"/>
        <item x="22"/>
        <item x="10"/>
        <item x="3"/>
        <item x="4"/>
        <item x="6"/>
        <item x="0"/>
        <item x="2"/>
        <item x="5"/>
        <item x="11"/>
        <item t="default"/>
      </items>
    </pivotField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  <pivotField numFmtId="43" showAll="0"/>
    <pivotField numFmtId="43" showAll="0"/>
    <pivotField showAll="0" defaultSubtotal="0"/>
    <pivotField numFmtId="43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Promedio de Recursos Naturales y Ambiente" fld="9" subtotal="average" baseField="0" baseItem="0"/>
  </dataFields>
  <formats count="2">
    <format dxfId="29">
      <pivotArea collapsedLevelsAreSubtotals="1" fieldPosition="0">
        <references count="1">
          <reference field="0" count="1">
            <x v="9"/>
          </reference>
        </references>
      </pivotArea>
    </format>
    <format dxfId="28">
      <pivotArea dataOnly="0" labelOnly="1" fieldPosition="0">
        <references count="1">
          <reference field="0" count="1">
            <x v="9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27" cacheId="1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X3:AY29" firstHeaderRow="2" firstDataRow="2" firstDataCol="1"/>
  <pivotFields count="14">
    <pivotField axis="axisRow" showAll="0">
      <items count="25">
        <item x="18"/>
        <item x="9"/>
        <item x="8"/>
        <item x="0"/>
        <item x="6"/>
        <item x="20"/>
        <item x="10"/>
        <item x="12"/>
        <item x="23"/>
        <item x="13"/>
        <item x="3"/>
        <item x="2"/>
        <item x="22"/>
        <item x="7"/>
        <item x="15"/>
        <item x="5"/>
        <item x="11"/>
        <item x="4"/>
        <item x="1"/>
        <item x="17"/>
        <item x="19"/>
        <item x="21"/>
        <item x="16"/>
        <item x="14"/>
        <item t="default"/>
      </items>
    </pivotField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  <pivotField showAll="0" defaultSubtotal="0"/>
    <pivotField numFmtId="43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Promedio de Urbanización" fld="11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1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3:B29" firstHeaderRow="2" firstDataRow="2" firstDataCol="1"/>
  <pivotFields count="14">
    <pivotField axis="axisRow" showAll="0">
      <items count="25">
        <item x="18"/>
        <item x="8"/>
        <item x="9"/>
        <item x="0"/>
        <item x="20"/>
        <item x="6"/>
        <item x="10"/>
        <item x="4"/>
        <item x="23"/>
        <item x="2"/>
        <item x="22"/>
        <item x="16"/>
        <item x="5"/>
        <item x="12"/>
        <item x="13"/>
        <item x="3"/>
        <item x="17"/>
        <item x="11"/>
        <item x="1"/>
        <item x="14"/>
        <item x="7"/>
        <item x="21"/>
        <item x="19"/>
        <item x="15"/>
        <item t="default"/>
      </items>
    </pivotField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showAll="0" defaultSubtotal="0"/>
    <pivotField dataField="1" numFmtId="43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Promedio de Total general" fld="1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23" cacheId="1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Q3:AR29" firstHeaderRow="2" firstDataRow="2" firstDataCol="1"/>
  <pivotFields count="14">
    <pivotField axis="axisRow" showAll="0">
      <items count="25">
        <item x="18"/>
        <item x="9"/>
        <item x="0"/>
        <item x="8"/>
        <item x="10"/>
        <item x="20"/>
        <item x="22"/>
        <item x="6"/>
        <item x="23"/>
        <item x="13"/>
        <item x="5"/>
        <item x="1"/>
        <item x="12"/>
        <item x="4"/>
        <item x="2"/>
        <item x="17"/>
        <item x="3"/>
        <item x="16"/>
        <item x="11"/>
        <item x="19"/>
        <item x="7"/>
        <item x="14"/>
        <item x="21"/>
        <item x="15"/>
        <item t="default"/>
      </items>
    </pivotField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  <pivotField numFmtId="43" showAll="0"/>
    <pivotField numFmtId="43" showAll="0"/>
    <pivotField numFmtId="43" showAll="0"/>
    <pivotField showAll="0" defaultSubtotal="0"/>
    <pivotField numFmtId="43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Promedio de Mercados financieros" fld="8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5" cacheId="1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O3:P29" firstHeaderRow="2" firstDataRow="2" firstDataCol="1"/>
  <pivotFields count="14">
    <pivotField axis="axisRow" showAll="0">
      <items count="25">
        <item x="8"/>
        <item x="4"/>
        <item x="0"/>
        <item x="23"/>
        <item x="14"/>
        <item x="1"/>
        <item x="5"/>
        <item x="17"/>
        <item x="6"/>
        <item x="16"/>
        <item x="20"/>
        <item x="2"/>
        <item x="18"/>
        <item x="21"/>
        <item x="13"/>
        <item x="3"/>
        <item x="10"/>
        <item x="22"/>
        <item x="15"/>
        <item x="11"/>
        <item x="19"/>
        <item x="7"/>
        <item x="12"/>
        <item x="9"/>
        <item t="default"/>
      </items>
    </pivotField>
    <pivotField numFmtId="43" showAll="0"/>
    <pivotField numFmtId="43" showAll="0"/>
    <pivotField dataField="1"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showAll="0" defaultSubtotal="0"/>
    <pivotField numFmtId="43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Promedio de Empleo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pivotTable" Target="../pivotTables/pivotTable11.xml"/><Relationship Id="rId12" Type="http://schemas.openxmlformats.org/officeDocument/2006/relationships/pivotTable" Target="../pivotTables/pivotTable12.xml"/><Relationship Id="rId13" Type="http://schemas.openxmlformats.org/officeDocument/2006/relationships/pivotTable" Target="../pivotTables/pivotTable13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Relationship Id="rId9" Type="http://schemas.openxmlformats.org/officeDocument/2006/relationships/pivotTable" Target="../pivotTables/pivotTable9.xml"/><Relationship Id="rId10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declaraciones.sri.gob.ec/saiku-ui/En%20cubo%20(declaraciones%20101)/%20En%20Dimensiones%20(A%C3%B1o%20Fiscal)%20/%20En%20medidas%20(Exportaciones%20Netas%20603)Adicionalmente%20usar%20los%20datos%20de%20poblaci%C3%B3n%20por%20provincia" TargetMode="External"/><Relationship Id="rId20" Type="http://schemas.openxmlformats.org/officeDocument/2006/relationships/hyperlink" Target="http://www.ecuadorencifras.gob.ec/censo-de-poblacion-y-vivienda/Resultados%20provinciales%20(Datos%20tomados%20de%20cada%20pesta%C3%B1a%20por%20provincia)" TargetMode="External"/><Relationship Id="rId21" Type="http://schemas.openxmlformats.org/officeDocument/2006/relationships/vmlDrawing" Target="../drawings/vmlDrawing1.vml"/><Relationship Id="rId22" Type="http://schemas.openxmlformats.org/officeDocument/2006/relationships/comments" Target="../comments1.xml"/><Relationship Id="rId10" Type="http://schemas.openxmlformats.org/officeDocument/2006/relationships/hyperlink" Target="http://appscvs.supercias.gob.ec/portalInformacion/sector_societario.zulInversi%C3%B3n%20de%20extrajeros%20por%20pa%C3%ADs" TargetMode="External"/><Relationship Id="rId11" Type="http://schemas.openxmlformats.org/officeDocument/2006/relationships/hyperlink" Target="https://www.bce.fin.ec/index.php/component/k2/item/756Sector%20real%20/%20Cuentas%20regionales/%20Aplicativo%20cuentas%20provinciales%202015%20(SD)" TargetMode="External"/><Relationship Id="rId12" Type="http://schemas.openxmlformats.org/officeDocument/2006/relationships/hyperlink" Target="https://www.bce.fin.ec/index.php/component/k2/item/756Sector%20real%20/%20Cuentas%20regionales/%20Aplicativo%20cuentas%20provinciales%202015%20(SD)Usar%20adicionalmente%20la%20poblaci%C3%B3n%20provincial" TargetMode="External"/><Relationship Id="rId13" Type="http://schemas.openxmlformats.org/officeDocument/2006/relationships/hyperlink" Target="http://www.ecuadorencifras.gob.ec/enemdu-2017/Base%20de%20Datos%20(En%20formato%20SPSS)" TargetMode="External"/><Relationship Id="rId14" Type="http://schemas.openxmlformats.org/officeDocument/2006/relationships/hyperlink" Target="http://www.ecuadorencifras.gob.ec/enemdu-2017/Base%20de%20Datos%20(En%20formato%20SPSS)" TargetMode="External"/><Relationship Id="rId15" Type="http://schemas.openxmlformats.org/officeDocument/2006/relationships/hyperlink" Target="http://www.ecuadorencifras.gob.ec/enemdu-2017/Base%20de%20Datos%20(En%20formato%20SPSS)" TargetMode="External"/><Relationship Id="rId16" Type="http://schemas.openxmlformats.org/officeDocument/2006/relationships/hyperlink" Target="http://www.ecuadorencifras.gob.ec/enemdu-2017/Base%20de%20Datos%20(En%20formato%20SPSS)" TargetMode="External"/><Relationship Id="rId17" Type="http://schemas.openxmlformats.org/officeDocument/2006/relationships/hyperlink" Target="http://www.ecuadorencifras.gob.ec/enemdu-2017/Base%20de%20Datos%20(En%20formato%20SPSS)" TargetMode="External"/><Relationship Id="rId18" Type="http://schemas.openxmlformats.org/officeDocument/2006/relationships/hyperlink" Target="http://www.ecuadorencifras.gob.ec/informacion-censal-cantonal/Tabulados%20censales/%20%20Poblaci%C3%B3n,%20superficie%20(km2),%20densidad%20poblacional%20a%20nivel%20provincial" TargetMode="External"/><Relationship Id="rId19" Type="http://schemas.openxmlformats.org/officeDocument/2006/relationships/hyperlink" Target="http://www.ecuadorencifras.gob.ec/informacion-censal-cantonal/tabulados%20censales/%20Poblaci%C3%B3n%20por%20%C3%A1rea,%20seg%C3%BAn%20provincia,%20cant%C3%B3n%20y%20parroquia%20de%20empadronamiento" TargetMode="External"/><Relationship Id="rId1" Type="http://schemas.openxmlformats.org/officeDocument/2006/relationships/hyperlink" Target="https://datalab.asobanca.org.ec/datalab/resources/site/index.html?QlikTicket=CurPQlA6TBSJQJ3i" TargetMode="External"/><Relationship Id="rId2" Type="http://schemas.openxmlformats.org/officeDocument/2006/relationships/hyperlink" Target="https://datalab.asobanca.org.ec/datalab/resources/site/index.html?QlikTicket=CurPQlA6TBSJQJ3i" TargetMode="External"/><Relationship Id="rId3" Type="http://schemas.openxmlformats.org/officeDocument/2006/relationships/hyperlink" Target="https://datalab.asobanca.org.ec/datalab/resources/site/index.html?QlikTicket=CurPQlA6TBSJQJ3i" TargetMode="External"/><Relationship Id="rId4" Type="http://schemas.openxmlformats.org/officeDocument/2006/relationships/hyperlink" Target="https://datalab.asobanca.org.ec/datalab/resources/site/index.html?QlikTicket=CurPQlA6TBSJQJ3i" TargetMode="External"/><Relationship Id="rId5" Type="http://schemas.openxmlformats.org/officeDocument/2006/relationships/hyperlink" Target="http://www.superbancos.gob.ec/practg/sbs_index?vp_art_id=5036&amp;vp_tip=2" TargetMode="External"/><Relationship Id="rId6" Type="http://schemas.openxmlformats.org/officeDocument/2006/relationships/hyperlink" Target="https://datalab.asobanca.org.ec/datalab/resources/site/index.html?QlikTicket=CurPQlA6TBSJQJ3i" TargetMode="External"/><Relationship Id="rId7" Type="http://schemas.openxmlformats.org/officeDocument/2006/relationships/hyperlink" Target="https://datalab.asobanca.org.ec/datalab/resources/site/index.html?QlikTicket=CurPQlA6TBSJQJ3i" TargetMode="External"/><Relationship Id="rId8" Type="http://schemas.openxmlformats.org/officeDocument/2006/relationships/hyperlink" Target="https://declaraciones.sri.gob.ec/saiku-ui/En%20cubo%20(declaraciones%20101)/%20En%20Dimensiones%20(A%C3%B1o%20Fiscal)%20/%20En%20medidas%20(Exportaciones%20Netas%20603)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I36"/>
  <sheetViews>
    <sheetView tabSelected="1" workbookViewId="0">
      <selection activeCell="M15" sqref="M15"/>
    </sheetView>
  </sheetViews>
  <sheetFormatPr baseColWidth="10" defaultRowHeight="15" x14ac:dyDescent="0"/>
  <cols>
    <col min="1" max="16384" width="10.83203125" style="208"/>
  </cols>
  <sheetData>
    <row r="8" spans="3:9" ht="23">
      <c r="C8" s="246" t="s">
        <v>392</v>
      </c>
      <c r="D8" s="246"/>
      <c r="E8" s="246"/>
      <c r="F8" s="246"/>
      <c r="G8" s="246"/>
      <c r="H8" s="246"/>
      <c r="I8" s="246"/>
    </row>
    <row r="9" spans="3:9" ht="23">
      <c r="C9" s="246" t="s">
        <v>404</v>
      </c>
      <c r="D9" s="246"/>
      <c r="E9" s="246"/>
      <c r="F9" s="246"/>
      <c r="G9" s="246"/>
      <c r="H9" s="246"/>
      <c r="I9" s="246"/>
    </row>
    <row r="11" spans="3:9">
      <c r="C11" s="209" t="s">
        <v>391</v>
      </c>
    </row>
    <row r="12" spans="3:9">
      <c r="C12" s="210" t="s">
        <v>399</v>
      </c>
    </row>
    <row r="13" spans="3:9">
      <c r="C13" s="210" t="s">
        <v>403</v>
      </c>
    </row>
    <row r="14" spans="3:9">
      <c r="C14" s="210" t="s">
        <v>395</v>
      </c>
    </row>
    <row r="15" spans="3:9">
      <c r="C15" s="210" t="s">
        <v>396</v>
      </c>
    </row>
    <row r="16" spans="3:9">
      <c r="C16" s="210" t="s">
        <v>397</v>
      </c>
    </row>
    <row r="19" spans="3:3">
      <c r="C19" s="209" t="s">
        <v>390</v>
      </c>
    </row>
    <row r="20" spans="3:3">
      <c r="C20" s="210" t="s">
        <v>400</v>
      </c>
    </row>
    <row r="21" spans="3:3">
      <c r="C21" s="245" t="s">
        <v>401</v>
      </c>
    </row>
    <row r="22" spans="3:3">
      <c r="C22" s="245" t="s">
        <v>118</v>
      </c>
    </row>
    <row r="23" spans="3:3">
      <c r="C23" s="244" t="s">
        <v>137</v>
      </c>
    </row>
    <row r="24" spans="3:3">
      <c r="C24" s="244" t="s">
        <v>163</v>
      </c>
    </row>
    <row r="25" spans="3:3">
      <c r="C25" s="244" t="s">
        <v>174</v>
      </c>
    </row>
    <row r="26" spans="3:3">
      <c r="C26" s="244" t="s">
        <v>185</v>
      </c>
    </row>
    <row r="27" spans="3:3">
      <c r="C27" s="244" t="s">
        <v>197</v>
      </c>
    </row>
    <row r="28" spans="3:3">
      <c r="C28" s="244" t="s">
        <v>344</v>
      </c>
    </row>
    <row r="29" spans="3:3">
      <c r="C29" s="244" t="s">
        <v>223</v>
      </c>
    </row>
    <row r="30" spans="3:3">
      <c r="C30" s="244" t="s">
        <v>233</v>
      </c>
    </row>
    <row r="31" spans="3:3">
      <c r="C31" s="244" t="s">
        <v>254</v>
      </c>
    </row>
    <row r="32" spans="3:3">
      <c r="C32" s="244" t="s">
        <v>260</v>
      </c>
    </row>
    <row r="33" spans="3:3">
      <c r="C33" s="244" t="s">
        <v>269</v>
      </c>
    </row>
    <row r="36" spans="3:3">
      <c r="C36" s="208" t="s">
        <v>402</v>
      </c>
    </row>
  </sheetData>
  <mergeCells count="2">
    <mergeCell ref="C9:I9"/>
    <mergeCell ref="C8:I8"/>
  </mergeCells>
  <hyperlinks>
    <hyperlink ref="C13" location="'Por provincia'!A1" display="'Por provincia'!A1"/>
    <hyperlink ref="C14" location="'Ubicación relativa '!A1" display="'Ubicación relativa '!A1"/>
    <hyperlink ref="C15" location="'Detalle indicadores provincia '!A1" display="'Detalle indicadores provincia '!A1"/>
    <hyperlink ref="C12" location="'Resumen competitividad'!A1" display="'Resumen competitividad'!A1"/>
    <hyperlink ref="C16" location="'Comparación por provincias'!A1" display="'Comparación por provincias'!A1"/>
    <hyperlink ref="C20" location="Gráficos!A1" display="Índice único de competitividad provincial"/>
    <hyperlink ref="C21" location="'Indice por pilar'!A1" display="índice único de competitividad provincial (valores)"/>
    <hyperlink ref="C22" location="'Indice por pilar'!BE8" display="Desarrollo Integral de las personas"/>
    <hyperlink ref="C23" location="'Indice por pilar'!I8" display="Desempeño Económico"/>
    <hyperlink ref="C24" location="'Indice por pilar'!J8" display="Empleo"/>
    <hyperlink ref="C25" location="'Indice por pilar'!AA8" display="Gestión Empresarial"/>
    <hyperlink ref="C26" location="'Indice por pilar'!BK8" display="Gestión, Gobiernos e Instituciones"/>
    <hyperlink ref="C27" location="'Indice por pilar'!AG8" display="Infraestructura y Localización"/>
    <hyperlink ref="C28" location="'Indice por pilar'!CC8" display="Habilitantes de Innovación, Ciencia y Tecnología"/>
    <hyperlink ref="C29" location="'Indice por pilar'!AM8" display="Internacionalización y Apertura"/>
    <hyperlink ref="C30" location="'Indice por pilar'!AS8" display="Mercados financieros"/>
    <hyperlink ref="C31" location="'Indice por pilar'!BQ8" display="Recursos Naturales y Ambiente"/>
    <hyperlink ref="C32" location="'Indice por pilar'!BW8" display="Seguridad Jurídica"/>
    <hyperlink ref="C33" location="'Indice por pilar'!AY8" display="Urbanización"/>
  </hyperlinks>
  <pageMargins left="0.75" right="0.75" top="1" bottom="1" header="0.5" footer="0.5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4"/>
  <sheetViews>
    <sheetView zoomScale="75" zoomScaleNormal="75" zoomScalePageLayoutView="75" workbookViewId="0">
      <selection activeCell="N4" sqref="N4"/>
    </sheetView>
  </sheetViews>
  <sheetFormatPr baseColWidth="10" defaultRowHeight="15" x14ac:dyDescent="0"/>
  <cols>
    <col min="1" max="1" width="10.83203125" style="227"/>
    <col min="2" max="2" width="14" style="227" customWidth="1"/>
    <col min="3" max="15" width="16.33203125" style="227" customWidth="1"/>
    <col min="16" max="16" width="0" style="227" hidden="1" customWidth="1"/>
    <col min="17" max="16384" width="10.83203125" style="227"/>
  </cols>
  <sheetData>
    <row r="3" spans="2:16" ht="23">
      <c r="D3" s="235"/>
      <c r="E3" s="235"/>
      <c r="F3" s="236" t="s">
        <v>384</v>
      </c>
      <c r="G3" s="236"/>
      <c r="H3" s="236"/>
      <c r="I3" s="236"/>
      <c r="J3" s="236"/>
      <c r="K3" s="236"/>
      <c r="L3" s="236"/>
      <c r="M3" s="235"/>
      <c r="N3" s="235"/>
      <c r="O3" s="235"/>
    </row>
    <row r="4" spans="2:16" ht="28">
      <c r="H4" s="237" t="str">
        <f>+'Por provincia'!B74</f>
        <v>Guayas</v>
      </c>
      <c r="N4" s="247" t="s">
        <v>393</v>
      </c>
      <c r="O4" s="238" t="s">
        <v>393</v>
      </c>
    </row>
    <row r="5" spans="2:16" ht="28">
      <c r="H5" s="237"/>
    </row>
    <row r="6" spans="2:16" ht="20">
      <c r="B6" s="241" t="s">
        <v>319</v>
      </c>
      <c r="C6" s="241">
        <f>+C33</f>
        <v>3</v>
      </c>
      <c r="D6" s="241">
        <f t="shared" ref="D6:O6" si="0">+D33</f>
        <v>5</v>
      </c>
      <c r="E6" s="241">
        <f t="shared" si="0"/>
        <v>24</v>
      </c>
      <c r="F6" s="241">
        <f t="shared" si="0"/>
        <v>2</v>
      </c>
      <c r="G6" s="241">
        <f t="shared" si="0"/>
        <v>15</v>
      </c>
      <c r="H6" s="241">
        <f t="shared" si="0"/>
        <v>3</v>
      </c>
      <c r="I6" s="241">
        <f t="shared" si="0"/>
        <v>2</v>
      </c>
      <c r="J6" s="241">
        <f t="shared" si="0"/>
        <v>2</v>
      </c>
      <c r="K6" s="241">
        <f t="shared" si="0"/>
        <v>12</v>
      </c>
      <c r="L6" s="241">
        <f t="shared" si="0"/>
        <v>24</v>
      </c>
      <c r="M6" s="241">
        <f t="shared" si="0"/>
        <v>2</v>
      </c>
      <c r="N6" s="241">
        <f t="shared" si="0"/>
        <v>14</v>
      </c>
      <c r="O6" s="241">
        <f t="shared" si="0"/>
        <v>3</v>
      </c>
    </row>
    <row r="7" spans="2:16" ht="60">
      <c r="B7" s="115" t="s">
        <v>341</v>
      </c>
      <c r="C7" s="123" t="str">
        <f>+'Ind. pilar y provincia'!B101</f>
        <v>Desarrollo Integral de las personas</v>
      </c>
      <c r="D7" s="123" t="str">
        <f>+'Ind. pilar y provincia'!C101</f>
        <v>Desempeño Económico</v>
      </c>
      <c r="E7" s="123" t="str">
        <f>+'Ind. pilar y provincia'!D101</f>
        <v>Empleo</v>
      </c>
      <c r="F7" s="123" t="str">
        <f>+'Ind. pilar y provincia'!E101</f>
        <v>Gestión Empresarial</v>
      </c>
      <c r="G7" s="123" t="str">
        <f>+'Ind. pilar y provincia'!F101</f>
        <v>Gestión, Gobiernos e Instituciones</v>
      </c>
      <c r="H7" s="123" t="str">
        <f>+'Ind. pilar y provincia'!G101</f>
        <v>Infraestructura y Localización</v>
      </c>
      <c r="I7" s="123" t="str">
        <f>+'Ind. pilar y provincia'!H101</f>
        <v>Internacionalización y Apertura</v>
      </c>
      <c r="J7" s="123" t="str">
        <f>+'Ind. pilar y provincia'!I101</f>
        <v>Mercados financieros</v>
      </c>
      <c r="K7" s="123" t="str">
        <f>+'Ind. pilar y provincia'!J101</f>
        <v>Recursos Naturales y Ambiente</v>
      </c>
      <c r="L7" s="123" t="str">
        <f>+'Ind. pilar y provincia'!K101</f>
        <v>Seguridad Jurídica</v>
      </c>
      <c r="M7" s="123" t="str">
        <f>+'Ind. pilar y provincia'!L101</f>
        <v>Urbanización</v>
      </c>
      <c r="N7" s="123" t="str">
        <f>+'Ind. pilar y provincia'!M101</f>
        <v>Habilitantes de Innovación, Ciencia y Tecnología</v>
      </c>
      <c r="O7" s="123" t="str">
        <f>+'Ind. pilar y provincia'!N101</f>
        <v>Total general</v>
      </c>
    </row>
    <row r="8" spans="2:16" s="240" customFormat="1" ht="26" customHeight="1">
      <c r="B8" s="148">
        <v>1</v>
      </c>
      <c r="C8" s="239" t="str">
        <f>+VLOOKUP(B8,'Indice por pilar'!$F$9:$H$32,3,FALSE)</f>
        <v>Pichincha</v>
      </c>
      <c r="D8" s="239" t="str">
        <f>+VLOOKUP(B8,'Indice por pilar'!$L$9:$N$32,3,FALSE)</f>
        <v>Pichincha</v>
      </c>
      <c r="E8" s="239" t="str">
        <f>+VLOOKUP(B8,'Indice por pilar'!$R$9:$T$32,3,FALSE)</f>
        <v>Galápagos</v>
      </c>
      <c r="F8" s="239" t="str">
        <f>+VLOOKUP(B8,'Indice por pilar'!$X$9:$Z$32,3,FALSE)</f>
        <v>Pichincha</v>
      </c>
      <c r="G8" s="239" t="str">
        <f>VLOOKUP(B8,'Indice por pilar'!$BH$9:$BJ$32,3,FALSE)</f>
        <v>Galápagos</v>
      </c>
      <c r="H8" s="239" t="str">
        <f>VLOOKUP(B8,'Indice por pilar'!$AD$9:$AF$32,3,FALSE)</f>
        <v>Pichincha</v>
      </c>
      <c r="I8" s="239" t="str">
        <f>VLOOKUP(B8,'Indice por pilar'!$AJ$9:$AL$32,3,FALSE)</f>
        <v>Pichincha</v>
      </c>
      <c r="J8" s="239" t="str">
        <f>VLOOKUP(B8,'Indice por pilar'!$AP$9:$AR$32,3,FALSE)</f>
        <v>Pichincha</v>
      </c>
      <c r="K8" s="239" t="str">
        <f>VLOOKUP(B8,'Indice por pilar'!$BN$9:$BP$32,3,FALSE)</f>
        <v>Santo Domingo de los Tsachilas</v>
      </c>
      <c r="L8" s="239" t="str">
        <f>VLOOKUP(B8,'Indice por pilar'!$BT$9:$BV$32,3,FALSE)</f>
        <v>Galápagos</v>
      </c>
      <c r="M8" s="239" t="str">
        <f>VLOOKUP(B8,'Indice por pilar'!$AV$9:$AX$32,3,FALSE)</f>
        <v>Pichincha</v>
      </c>
      <c r="N8" s="239" t="str">
        <f>VLOOKUP(B8,'Indice por pilar'!$BZ$9:$CB$32,3,FALSE)</f>
        <v>Pichincha</v>
      </c>
      <c r="O8" s="239" t="str">
        <f>VLOOKUP(B8,'Indice por pilar'!$F$8:$H$32,3,FALSE)</f>
        <v>Pichincha</v>
      </c>
      <c r="P8" s="240">
        <f>+B8</f>
        <v>1</v>
      </c>
    </row>
    <row r="9" spans="2:16" s="240" customFormat="1" ht="26" customHeight="1">
      <c r="B9" s="148">
        <v>2</v>
      </c>
      <c r="C9" s="239" t="str">
        <f>+VLOOKUP(B9,'Indice por pilar'!$F$9:$H$32,3,FALSE)</f>
        <v>Galápagos</v>
      </c>
      <c r="D9" s="239" t="str">
        <f>+VLOOKUP(B9,'Indice por pilar'!$L$9:$N$32,3,FALSE)</f>
        <v>Francisco de Orellana</v>
      </c>
      <c r="E9" s="239" t="str">
        <f>+VLOOKUP(B9,'Indice por pilar'!$R$9:$T$32,3,FALSE)</f>
        <v>Chimborazo</v>
      </c>
      <c r="F9" s="239" t="str">
        <f>+VLOOKUP(B9,'Indice por pilar'!$X$9:$Z$32,3,FALSE)</f>
        <v>Guayas</v>
      </c>
      <c r="G9" s="239" t="str">
        <f>VLOOKUP(B9,'Indice por pilar'!$BH$9:$BJ$32,3,FALSE)</f>
        <v>Pichincha</v>
      </c>
      <c r="H9" s="239" t="str">
        <f>VLOOKUP(B9,'Indice por pilar'!$AD$9:$AF$32,3,FALSE)</f>
        <v>Azuay</v>
      </c>
      <c r="I9" s="239" t="str">
        <f>VLOOKUP(B9,'Indice por pilar'!$AJ$9:$AL$32,3,FALSE)</f>
        <v>Guayas</v>
      </c>
      <c r="J9" s="239" t="str">
        <f>VLOOKUP(B9,'Indice por pilar'!$AP$9:$AR$32,3,FALSE)</f>
        <v>Guayas</v>
      </c>
      <c r="K9" s="239" t="str">
        <f>VLOOKUP(B9,'Indice por pilar'!$BN$9:$BP$32,3,FALSE)</f>
        <v>Galápagos</v>
      </c>
      <c r="L9" s="239" t="str">
        <f>VLOOKUP(B9,'Indice por pilar'!$BT$9:$BV$32,3,FALSE)</f>
        <v>Santa Elena</v>
      </c>
      <c r="M9" s="239" t="str">
        <f>VLOOKUP(B9,'Indice por pilar'!$AV$9:$AX$32,3,FALSE)</f>
        <v>Guayas</v>
      </c>
      <c r="N9" s="239" t="str">
        <f>VLOOKUP(B9,'Indice por pilar'!$BZ$9:$CB$32,3,FALSE)</f>
        <v>Galápagos</v>
      </c>
      <c r="O9" s="239" t="str">
        <f>VLOOKUP(B9,'Indice por pilar'!$F$8:$H$32,3,FALSE)</f>
        <v>Galápagos</v>
      </c>
      <c r="P9" s="240">
        <f t="shared" ref="P9:P31" si="1">+B9</f>
        <v>2</v>
      </c>
    </row>
    <row r="10" spans="2:16" s="240" customFormat="1" ht="26" customHeight="1">
      <c r="B10" s="148">
        <v>3</v>
      </c>
      <c r="C10" s="239" t="str">
        <f>+VLOOKUP(B10,'Indice por pilar'!$F$9:$H$32,3,FALSE)</f>
        <v>Guayas</v>
      </c>
      <c r="D10" s="239" t="str">
        <f>+VLOOKUP(B10,'Indice por pilar'!$L$9:$N$32,3,FALSE)</f>
        <v>Galápagos</v>
      </c>
      <c r="E10" s="239" t="str">
        <f>+VLOOKUP(B10,'Indice por pilar'!$R$9:$T$32,3,FALSE)</f>
        <v>Azuay</v>
      </c>
      <c r="F10" s="239" t="str">
        <f>+VLOOKUP(B10,'Indice por pilar'!$X$9:$Z$32,3,FALSE)</f>
        <v>Galápagos</v>
      </c>
      <c r="G10" s="239" t="str">
        <f>VLOOKUP(B10,'Indice por pilar'!$BH$9:$BJ$32,3,FALSE)</f>
        <v>Francisco de Orellana</v>
      </c>
      <c r="H10" s="239" t="str">
        <f>VLOOKUP(B10,'Indice por pilar'!$AD$9:$AF$32,3,FALSE)</f>
        <v>Guayas</v>
      </c>
      <c r="I10" s="239" t="str">
        <f>VLOOKUP(B10,'Indice por pilar'!$AJ$9:$AL$32,3,FALSE)</f>
        <v>Galápagos</v>
      </c>
      <c r="J10" s="239" t="str">
        <f>VLOOKUP(B10,'Indice por pilar'!$AP$9:$AR$32,3,FALSE)</f>
        <v>Azuay</v>
      </c>
      <c r="K10" s="239" t="str">
        <f>VLOOKUP(B10,'Indice por pilar'!$BN$9:$BP$32,3,FALSE)</f>
        <v>Pastaza</v>
      </c>
      <c r="L10" s="239" t="str">
        <f>VLOOKUP(B10,'Indice por pilar'!$BT$9:$BV$32,3,FALSE)</f>
        <v>Cañar</v>
      </c>
      <c r="M10" s="239" t="str">
        <f>VLOOKUP(B10,'Indice por pilar'!$AV$9:$AX$32,3,FALSE)</f>
        <v>Galápagos</v>
      </c>
      <c r="N10" s="239" t="str">
        <f>VLOOKUP(B10,'Indice por pilar'!$BZ$9:$CB$32,3,FALSE)</f>
        <v>Imbabura</v>
      </c>
      <c r="O10" s="239" t="str">
        <f>VLOOKUP(B10,'Indice por pilar'!$F$8:$H$32,3,FALSE)</f>
        <v>Guayas</v>
      </c>
      <c r="P10" s="240">
        <f t="shared" si="1"/>
        <v>3</v>
      </c>
    </row>
    <row r="11" spans="2:16" s="240" customFormat="1" ht="26" customHeight="1">
      <c r="B11" s="148">
        <v>4</v>
      </c>
      <c r="C11" s="239" t="str">
        <f>+VLOOKUP(B11,'Indice por pilar'!$F$9:$H$32,3,FALSE)</f>
        <v>Azuay</v>
      </c>
      <c r="D11" s="239" t="str">
        <f>+VLOOKUP(B11,'Indice por pilar'!$L$9:$N$32,3,FALSE)</f>
        <v>Azuay</v>
      </c>
      <c r="E11" s="239" t="str">
        <f>+VLOOKUP(B11,'Indice por pilar'!$R$9:$T$32,3,FALSE)</f>
        <v>Santo Domingo de los Tsachilas</v>
      </c>
      <c r="F11" s="239" t="str">
        <f>+VLOOKUP(B11,'Indice por pilar'!$X$9:$Z$32,3,FALSE)</f>
        <v>Azuay</v>
      </c>
      <c r="G11" s="239" t="str">
        <f>VLOOKUP(B11,'Indice por pilar'!$BH$9:$BJ$32,3,FALSE)</f>
        <v>Morona Santiago</v>
      </c>
      <c r="H11" s="239" t="str">
        <f>VLOOKUP(B11,'Indice por pilar'!$AD$9:$AF$32,3,FALSE)</f>
        <v>Cañar</v>
      </c>
      <c r="I11" s="239" t="str">
        <f>VLOOKUP(B11,'Indice por pilar'!$AJ$9:$AL$32,3,FALSE)</f>
        <v>Cotopaxi</v>
      </c>
      <c r="J11" s="239" t="str">
        <f>VLOOKUP(B11,'Indice por pilar'!$AP$9:$AR$32,3,FALSE)</f>
        <v>Galápagos</v>
      </c>
      <c r="K11" s="239" t="str">
        <f>VLOOKUP(B11,'Indice por pilar'!$BN$9:$BP$32,3,FALSE)</f>
        <v>Manabí</v>
      </c>
      <c r="L11" s="239" t="str">
        <f>VLOOKUP(B11,'Indice por pilar'!$BT$9:$BV$32,3,FALSE)</f>
        <v>Morona Santiago</v>
      </c>
      <c r="M11" s="239" t="str">
        <f>VLOOKUP(B11,'Indice por pilar'!$AV$9:$AX$32,3,FALSE)</f>
        <v>Azuay</v>
      </c>
      <c r="N11" s="239" t="str">
        <f>VLOOKUP(B11,'Indice por pilar'!$BZ$9:$CB$32,3,FALSE)</f>
        <v>Loja</v>
      </c>
      <c r="O11" s="239" t="str">
        <f>VLOOKUP(B11,'Indice por pilar'!$F$8:$H$32,3,FALSE)</f>
        <v>Azuay</v>
      </c>
      <c r="P11" s="240">
        <f t="shared" si="1"/>
        <v>4</v>
      </c>
    </row>
    <row r="12" spans="2:16" s="240" customFormat="1" ht="26" customHeight="1">
      <c r="B12" s="148">
        <v>5</v>
      </c>
      <c r="C12" s="239" t="str">
        <f>+VLOOKUP(B12,'Indice por pilar'!$F$9:$H$32,3,FALSE)</f>
        <v>Tungurahua</v>
      </c>
      <c r="D12" s="239" t="str">
        <f>+VLOOKUP(B12,'Indice por pilar'!$L$9:$N$32,3,FALSE)</f>
        <v>Guayas</v>
      </c>
      <c r="E12" s="239" t="str">
        <f>+VLOOKUP(B12,'Indice por pilar'!$R$9:$T$32,3,FALSE)</f>
        <v>Morona Santiago</v>
      </c>
      <c r="F12" s="239" t="str">
        <f>+VLOOKUP(B12,'Indice por pilar'!$X$9:$Z$32,3,FALSE)</f>
        <v>Tungurahua</v>
      </c>
      <c r="G12" s="239" t="str">
        <f>VLOOKUP(B12,'Indice por pilar'!$BH$9:$BJ$32,3,FALSE)</f>
        <v>Imbabura</v>
      </c>
      <c r="H12" s="239" t="str">
        <f>VLOOKUP(B12,'Indice por pilar'!$AD$9:$AF$32,3,FALSE)</f>
        <v>El Oro</v>
      </c>
      <c r="I12" s="239" t="str">
        <f>VLOOKUP(B12,'Indice por pilar'!$AJ$9:$AL$32,3,FALSE)</f>
        <v>El Oro</v>
      </c>
      <c r="J12" s="239" t="str">
        <f>VLOOKUP(B12,'Indice por pilar'!$AP$9:$AR$32,3,FALSE)</f>
        <v>Imbabura</v>
      </c>
      <c r="K12" s="239" t="str">
        <f>VLOOKUP(B12,'Indice por pilar'!$BN$9:$BP$32,3,FALSE)</f>
        <v>Napo</v>
      </c>
      <c r="L12" s="239" t="str">
        <f>VLOOKUP(B12,'Indice por pilar'!$BT$9:$BV$32,3,FALSE)</f>
        <v>Carchi</v>
      </c>
      <c r="M12" s="239" t="str">
        <f>VLOOKUP(B12,'Indice por pilar'!$AV$9:$AX$32,3,FALSE)</f>
        <v>El Oro</v>
      </c>
      <c r="N12" s="239" t="str">
        <f>VLOOKUP(B12,'Indice por pilar'!$BZ$9:$CB$32,3,FALSE)</f>
        <v>Chimborazo</v>
      </c>
      <c r="O12" s="239" t="str">
        <f>VLOOKUP(B12,'Indice por pilar'!$F$8:$H$32,3,FALSE)</f>
        <v>Tungurahua</v>
      </c>
      <c r="P12" s="240">
        <f t="shared" si="1"/>
        <v>5</v>
      </c>
    </row>
    <row r="13" spans="2:16" s="240" customFormat="1" ht="26" customHeight="1">
      <c r="B13" s="148">
        <v>6</v>
      </c>
      <c r="C13" s="239" t="str">
        <f>+VLOOKUP(B13,'Indice por pilar'!$F$9:$H$32,3,FALSE)</f>
        <v>El Oro</v>
      </c>
      <c r="D13" s="239" t="str">
        <f>+VLOOKUP(B13,'Indice por pilar'!$L$9:$N$32,3,FALSE)</f>
        <v>Tungurahua</v>
      </c>
      <c r="E13" s="239" t="str">
        <f>+VLOOKUP(B13,'Indice por pilar'!$R$9:$T$32,3,FALSE)</f>
        <v>Bolívar</v>
      </c>
      <c r="F13" s="239" t="str">
        <f>+VLOOKUP(B13,'Indice por pilar'!$X$9:$Z$32,3,FALSE)</f>
        <v>El Oro</v>
      </c>
      <c r="G13" s="239" t="str">
        <f>VLOOKUP(B13,'Indice por pilar'!$BH$9:$BJ$32,3,FALSE)</f>
        <v>El Oro</v>
      </c>
      <c r="H13" s="239" t="str">
        <f>VLOOKUP(B13,'Indice por pilar'!$AD$9:$AF$32,3,FALSE)</f>
        <v>Imbabura</v>
      </c>
      <c r="I13" s="239" t="str">
        <f>VLOOKUP(B13,'Indice por pilar'!$AJ$9:$AL$32,3,FALSE)</f>
        <v>Imbabura</v>
      </c>
      <c r="J13" s="239" t="str">
        <f>VLOOKUP(B13,'Indice por pilar'!$AP$9:$AR$32,3,FALSE)</f>
        <v>Tungurahua</v>
      </c>
      <c r="K13" s="239" t="str">
        <f>VLOOKUP(B13,'Indice por pilar'!$BN$9:$BP$32,3,FALSE)</f>
        <v>Esmeraldas</v>
      </c>
      <c r="L13" s="239" t="str">
        <f>VLOOKUP(B13,'Indice por pilar'!$BT$9:$BV$32,3,FALSE)</f>
        <v>Imbabura</v>
      </c>
      <c r="M13" s="239" t="str">
        <f>VLOOKUP(B13,'Indice por pilar'!$AV$9:$AX$32,3,FALSE)</f>
        <v>Tungurahua</v>
      </c>
      <c r="N13" s="239" t="str">
        <f>VLOOKUP(B13,'Indice por pilar'!$BZ$9:$CB$32,3,FALSE)</f>
        <v>Tungurahua</v>
      </c>
      <c r="O13" s="239" t="str">
        <f>VLOOKUP(B13,'Indice por pilar'!$F$8:$H$32,3,FALSE)</f>
        <v>El Oro</v>
      </c>
      <c r="P13" s="240">
        <f t="shared" si="1"/>
        <v>6</v>
      </c>
    </row>
    <row r="14" spans="2:16" s="240" customFormat="1" ht="26" customHeight="1">
      <c r="B14" s="148">
        <v>7</v>
      </c>
      <c r="C14" s="239" t="str">
        <f>+VLOOKUP(B14,'Indice por pilar'!$F$9:$H$32,3,FALSE)</f>
        <v>Imbabura</v>
      </c>
      <c r="D14" s="239" t="str">
        <f>+VLOOKUP(B14,'Indice por pilar'!$L$9:$N$32,3,FALSE)</f>
        <v>Chimborazo</v>
      </c>
      <c r="E14" s="239" t="str">
        <f>+VLOOKUP(B14,'Indice por pilar'!$R$9:$T$32,3,FALSE)</f>
        <v>Cotopaxi</v>
      </c>
      <c r="F14" s="239" t="str">
        <f>+VLOOKUP(B14,'Indice por pilar'!$X$9:$Z$32,3,FALSE)</f>
        <v>Santo Domingo de los Tsachilas</v>
      </c>
      <c r="G14" s="239" t="str">
        <f>VLOOKUP(B14,'Indice por pilar'!$BH$9:$BJ$32,3,FALSE)</f>
        <v>Zamora Chinchipe</v>
      </c>
      <c r="H14" s="239" t="str">
        <f>VLOOKUP(B14,'Indice por pilar'!$AD$9:$AF$32,3,FALSE)</f>
        <v>Tungurahua</v>
      </c>
      <c r="I14" s="239" t="str">
        <f>VLOOKUP(B14,'Indice por pilar'!$AJ$9:$AL$32,3,FALSE)</f>
        <v>Manabí</v>
      </c>
      <c r="J14" s="239" t="str">
        <f>VLOOKUP(B14,'Indice por pilar'!$AP$9:$AR$32,3,FALSE)</f>
        <v>Santa Elena</v>
      </c>
      <c r="K14" s="239" t="str">
        <f>VLOOKUP(B14,'Indice por pilar'!$BN$9:$BP$32,3,FALSE)</f>
        <v>Francisco de Orellana</v>
      </c>
      <c r="L14" s="239" t="str">
        <f>VLOOKUP(B14,'Indice por pilar'!$BT$9:$BV$32,3,FALSE)</f>
        <v>Francisco de Orellana</v>
      </c>
      <c r="M14" s="239" t="str">
        <f>VLOOKUP(B14,'Indice por pilar'!$AV$9:$AX$32,3,FALSE)</f>
        <v>Imbabura</v>
      </c>
      <c r="N14" s="239" t="str">
        <f>VLOOKUP(B14,'Indice por pilar'!$BZ$9:$CB$32,3,FALSE)</f>
        <v>Azuay</v>
      </c>
      <c r="O14" s="239" t="str">
        <f>VLOOKUP(B14,'Indice por pilar'!$F$8:$H$32,3,FALSE)</f>
        <v>Imbabura</v>
      </c>
      <c r="P14" s="240">
        <f t="shared" si="1"/>
        <v>7</v>
      </c>
    </row>
    <row r="15" spans="2:16" s="240" customFormat="1" ht="26" customHeight="1">
      <c r="B15" s="148">
        <v>8</v>
      </c>
      <c r="C15" s="239" t="str">
        <f>+VLOOKUP(B15,'Indice por pilar'!$F$9:$H$32,3,FALSE)</f>
        <v>Chimborazo</v>
      </c>
      <c r="D15" s="239" t="str">
        <f>+VLOOKUP(B15,'Indice por pilar'!$L$9:$N$32,3,FALSE)</f>
        <v>Santa Elena</v>
      </c>
      <c r="E15" s="239" t="str">
        <f>+VLOOKUP(B15,'Indice por pilar'!$R$9:$T$32,3,FALSE)</f>
        <v>Pastaza</v>
      </c>
      <c r="F15" s="239" t="str">
        <f>+VLOOKUP(B15,'Indice por pilar'!$X$9:$Z$32,3,FALSE)</f>
        <v>Sucumbíos</v>
      </c>
      <c r="G15" s="239" t="str">
        <f>VLOOKUP(B15,'Indice por pilar'!$BH$9:$BJ$32,3,FALSE)</f>
        <v>Santa Elena</v>
      </c>
      <c r="H15" s="239" t="str">
        <f>VLOOKUP(B15,'Indice por pilar'!$AD$9:$AF$32,3,FALSE)</f>
        <v>Santo Domingo de los Tsachilas</v>
      </c>
      <c r="I15" s="239" t="str">
        <f>VLOOKUP(B15,'Indice por pilar'!$AJ$9:$AL$32,3,FALSE)</f>
        <v>Los Ríos</v>
      </c>
      <c r="J15" s="239" t="str">
        <f>VLOOKUP(B15,'Indice por pilar'!$AP$9:$AR$32,3,FALSE)</f>
        <v>El Oro</v>
      </c>
      <c r="K15" s="239" t="str">
        <f>VLOOKUP(B15,'Indice por pilar'!$BN$9:$BP$32,3,FALSE)</f>
        <v>Zamora Chinchipe</v>
      </c>
      <c r="L15" s="239" t="str">
        <f>VLOOKUP(B15,'Indice por pilar'!$BT$9:$BV$32,3,FALSE)</f>
        <v>Tungurahua</v>
      </c>
      <c r="M15" s="239" t="str">
        <f>VLOOKUP(B15,'Indice por pilar'!$AV$9:$AX$32,3,FALSE)</f>
        <v>Los Ríos</v>
      </c>
      <c r="N15" s="239" t="str">
        <f>VLOOKUP(B15,'Indice por pilar'!$BZ$9:$CB$32,3,FALSE)</f>
        <v>Pastaza</v>
      </c>
      <c r="O15" s="239" t="str">
        <f>VLOOKUP(B15,'Indice por pilar'!$F$8:$H$32,3,FALSE)</f>
        <v>Chimborazo</v>
      </c>
      <c r="P15" s="240">
        <f t="shared" si="1"/>
        <v>8</v>
      </c>
    </row>
    <row r="16" spans="2:16" s="240" customFormat="1" ht="26" customHeight="1">
      <c r="B16" s="148">
        <v>9</v>
      </c>
      <c r="C16" s="239" t="str">
        <f>+VLOOKUP(B16,'Indice por pilar'!$F$9:$H$32,3,FALSE)</f>
        <v>Santo Domingo de los Tsachilas</v>
      </c>
      <c r="D16" s="239" t="str">
        <f>+VLOOKUP(B16,'Indice por pilar'!$L$9:$N$32,3,FALSE)</f>
        <v>Imbabura</v>
      </c>
      <c r="E16" s="239" t="str">
        <f>+VLOOKUP(B16,'Indice por pilar'!$R$9:$T$32,3,FALSE)</f>
        <v>El Oro</v>
      </c>
      <c r="F16" s="239" t="str">
        <f>+VLOOKUP(B16,'Indice por pilar'!$X$9:$Z$32,3,FALSE)</f>
        <v>Francisco de Orellana</v>
      </c>
      <c r="G16" s="239" t="str">
        <f>VLOOKUP(B16,'Indice por pilar'!$BH$9:$BJ$32,3,FALSE)</f>
        <v>Napo</v>
      </c>
      <c r="H16" s="239" t="str">
        <f>VLOOKUP(B16,'Indice por pilar'!$AD$9:$AF$32,3,FALSE)</f>
        <v>Carchi</v>
      </c>
      <c r="I16" s="239" t="str">
        <f>VLOOKUP(B16,'Indice por pilar'!$AJ$9:$AL$32,3,FALSE)</f>
        <v>Santo Domingo de los Tsachilas</v>
      </c>
      <c r="J16" s="239" t="str">
        <f>VLOOKUP(B16,'Indice por pilar'!$AP$9:$AR$32,3,FALSE)</f>
        <v>Santo Domingo de los Tsachilas</v>
      </c>
      <c r="K16" s="239" t="str">
        <f>VLOOKUP(B16,'Indice por pilar'!$BN$9:$BP$32,3,FALSE)</f>
        <v>Bolívar</v>
      </c>
      <c r="L16" s="239" t="str">
        <f>VLOOKUP(B16,'Indice por pilar'!$BT$9:$BV$32,3,FALSE)</f>
        <v>Zamora Chinchipe</v>
      </c>
      <c r="M16" s="239" t="str">
        <f>VLOOKUP(B16,'Indice por pilar'!$AV$9:$AX$32,3,FALSE)</f>
        <v>Santo Domingo de los Tsachilas</v>
      </c>
      <c r="N16" s="239" t="str">
        <f>VLOOKUP(B16,'Indice por pilar'!$BZ$9:$CB$32,3,FALSE)</f>
        <v>Cañar</v>
      </c>
      <c r="O16" s="239" t="str">
        <f>VLOOKUP(B16,'Indice por pilar'!$F$8:$H$32,3,FALSE)</f>
        <v>Santo Domingo de los Tsachilas</v>
      </c>
      <c r="P16" s="240">
        <f t="shared" si="1"/>
        <v>9</v>
      </c>
    </row>
    <row r="17" spans="2:16" s="240" customFormat="1" ht="26" customHeight="1">
      <c r="B17" s="148">
        <v>10</v>
      </c>
      <c r="C17" s="239" t="str">
        <f>+VLOOKUP(B17,'Indice por pilar'!$F$9:$H$32,3,FALSE)</f>
        <v>Cañar</v>
      </c>
      <c r="D17" s="239" t="str">
        <f>+VLOOKUP(B17,'Indice por pilar'!$L$9:$N$32,3,FALSE)</f>
        <v>El Oro</v>
      </c>
      <c r="E17" s="239" t="str">
        <f>+VLOOKUP(B17,'Indice por pilar'!$R$9:$T$32,3,FALSE)</f>
        <v>Francisco de Orellana</v>
      </c>
      <c r="F17" s="239" t="str">
        <f>+VLOOKUP(B17,'Indice por pilar'!$X$9:$Z$32,3,FALSE)</f>
        <v>Imbabura</v>
      </c>
      <c r="G17" s="239" t="str">
        <f>VLOOKUP(B17,'Indice por pilar'!$BH$9:$BJ$32,3,FALSE)</f>
        <v>Cañar</v>
      </c>
      <c r="H17" s="239" t="str">
        <f>VLOOKUP(B17,'Indice por pilar'!$AD$9:$AF$32,3,FALSE)</f>
        <v>Bolívar</v>
      </c>
      <c r="I17" s="239" t="str">
        <f>VLOOKUP(B17,'Indice por pilar'!$AJ$9:$AL$32,3,FALSE)</f>
        <v>Carchi</v>
      </c>
      <c r="J17" s="239" t="str">
        <f>VLOOKUP(B17,'Indice por pilar'!$AP$9:$AR$32,3,FALSE)</f>
        <v>Manabí</v>
      </c>
      <c r="K17" s="239" t="str">
        <f>VLOOKUP(B17,'Indice por pilar'!$BN$9:$BP$32,3,FALSE)</f>
        <v>Los Ríos</v>
      </c>
      <c r="L17" s="239" t="str">
        <f>VLOOKUP(B17,'Indice por pilar'!$BT$9:$BV$32,3,FALSE)</f>
        <v>Pastaza</v>
      </c>
      <c r="M17" s="239" t="str">
        <f>VLOOKUP(B17,'Indice por pilar'!$AV$9:$AX$32,3,FALSE)</f>
        <v>Manabí</v>
      </c>
      <c r="N17" s="239" t="str">
        <f>VLOOKUP(B17,'Indice por pilar'!$BZ$9:$CB$32,3,FALSE)</f>
        <v>Bolívar</v>
      </c>
      <c r="O17" s="239" t="str">
        <f>VLOOKUP(B17,'Indice por pilar'!$F$8:$H$32,3,FALSE)</f>
        <v>Cañar</v>
      </c>
      <c r="P17" s="240">
        <f t="shared" si="1"/>
        <v>10</v>
      </c>
    </row>
    <row r="18" spans="2:16" s="240" customFormat="1" ht="26" customHeight="1">
      <c r="B18" s="148">
        <v>11</v>
      </c>
      <c r="C18" s="239" t="str">
        <f>+VLOOKUP(B18,'Indice por pilar'!$F$9:$H$32,3,FALSE)</f>
        <v>Santa Elena</v>
      </c>
      <c r="D18" s="239" t="str">
        <f>+VLOOKUP(B18,'Indice por pilar'!$L$9:$N$32,3,FALSE)</f>
        <v>Los Ríos</v>
      </c>
      <c r="E18" s="239" t="str">
        <f>+VLOOKUP(B18,'Indice por pilar'!$R$9:$T$32,3,FALSE)</f>
        <v>Tungurahua</v>
      </c>
      <c r="F18" s="239" t="str">
        <f>+VLOOKUP(B18,'Indice por pilar'!$X$9:$Z$32,3,FALSE)</f>
        <v>Manabí</v>
      </c>
      <c r="G18" s="239" t="str">
        <f>VLOOKUP(B18,'Indice por pilar'!$BH$9:$BJ$32,3,FALSE)</f>
        <v>Azuay</v>
      </c>
      <c r="H18" s="239" t="str">
        <f>VLOOKUP(B18,'Indice por pilar'!$AD$9:$AF$32,3,FALSE)</f>
        <v>Chimborazo</v>
      </c>
      <c r="I18" s="239" t="str">
        <f>VLOOKUP(B18,'Indice por pilar'!$AJ$9:$AL$32,3,FALSE)</f>
        <v>Esmeraldas</v>
      </c>
      <c r="J18" s="239" t="str">
        <f>VLOOKUP(B18,'Indice por pilar'!$AP$9:$AR$32,3,FALSE)</f>
        <v>Cotopaxi</v>
      </c>
      <c r="K18" s="239" t="str">
        <f>VLOOKUP(B18,'Indice por pilar'!$BN$9:$BP$32,3,FALSE)</f>
        <v>Morona Santiago</v>
      </c>
      <c r="L18" s="239" t="str">
        <f>VLOOKUP(B18,'Indice por pilar'!$BT$9:$BV$32,3,FALSE)</f>
        <v>El Oro</v>
      </c>
      <c r="M18" s="239" t="str">
        <f>VLOOKUP(B18,'Indice por pilar'!$AV$9:$AX$32,3,FALSE)</f>
        <v>Carchi</v>
      </c>
      <c r="N18" s="239" t="str">
        <f>VLOOKUP(B18,'Indice por pilar'!$BZ$9:$CB$32,3,FALSE)</f>
        <v>Carchi</v>
      </c>
      <c r="O18" s="239" t="str">
        <f>VLOOKUP(B18,'Indice por pilar'!$F$8:$H$32,3,FALSE)</f>
        <v>Santa Elena</v>
      </c>
      <c r="P18" s="240">
        <f t="shared" si="1"/>
        <v>11</v>
      </c>
    </row>
    <row r="19" spans="2:16" s="240" customFormat="1" ht="26" customHeight="1">
      <c r="B19" s="148">
        <v>12</v>
      </c>
      <c r="C19" s="239" t="str">
        <f>+VLOOKUP(B19,'Indice por pilar'!$F$9:$H$32,3,FALSE)</f>
        <v>Francisco de Orellana</v>
      </c>
      <c r="D19" s="239" t="str">
        <f>+VLOOKUP(B19,'Indice por pilar'!$L$9:$N$32,3,FALSE)</f>
        <v>Cañar</v>
      </c>
      <c r="E19" s="239" t="str">
        <f>+VLOOKUP(B19,'Indice por pilar'!$R$9:$T$32,3,FALSE)</f>
        <v>Cañar</v>
      </c>
      <c r="F19" s="239" t="str">
        <f>+VLOOKUP(B19,'Indice por pilar'!$X$9:$Z$32,3,FALSE)</f>
        <v>Loja</v>
      </c>
      <c r="G19" s="239" t="str">
        <f>VLOOKUP(B19,'Indice por pilar'!$BH$9:$BJ$32,3,FALSE)</f>
        <v>Chimborazo</v>
      </c>
      <c r="H19" s="239" t="str">
        <f>VLOOKUP(B19,'Indice por pilar'!$AD$9:$AF$32,3,FALSE)</f>
        <v>Manabí</v>
      </c>
      <c r="I19" s="239" t="str">
        <f>VLOOKUP(B19,'Indice por pilar'!$AJ$9:$AL$32,3,FALSE)</f>
        <v>Azuay</v>
      </c>
      <c r="J19" s="239" t="str">
        <f>VLOOKUP(B19,'Indice por pilar'!$AP$9:$AR$32,3,FALSE)</f>
        <v>Bolívar</v>
      </c>
      <c r="K19" s="239" t="str">
        <f>VLOOKUP(B19,'Indice por pilar'!$BN$9:$BP$32,3,FALSE)</f>
        <v>Guayas</v>
      </c>
      <c r="L19" s="239" t="str">
        <f>VLOOKUP(B19,'Indice por pilar'!$BT$9:$BV$32,3,FALSE)</f>
        <v>Los Ríos</v>
      </c>
      <c r="M19" s="239" t="str">
        <f>VLOOKUP(B19,'Indice por pilar'!$AV$9:$AX$32,3,FALSE)</f>
        <v>Cañar</v>
      </c>
      <c r="N19" s="239" t="str">
        <f>VLOOKUP(B19,'Indice por pilar'!$BZ$9:$CB$32,3,FALSE)</f>
        <v>Zamora Chinchipe</v>
      </c>
      <c r="O19" s="239" t="str">
        <f>VLOOKUP(B19,'Indice por pilar'!$F$8:$H$32,3,FALSE)</f>
        <v>Francisco de Orellana</v>
      </c>
      <c r="P19" s="240">
        <f t="shared" si="1"/>
        <v>12</v>
      </c>
    </row>
    <row r="20" spans="2:16" s="240" customFormat="1" ht="26" customHeight="1">
      <c r="B20" s="148">
        <v>13</v>
      </c>
      <c r="C20" s="239" t="str">
        <f>+VLOOKUP(B20,'Indice por pilar'!$F$9:$H$32,3,FALSE)</f>
        <v>Cotopaxi</v>
      </c>
      <c r="D20" s="239" t="str">
        <f>+VLOOKUP(B20,'Indice por pilar'!$L$9:$N$32,3,FALSE)</f>
        <v>Sucumbíos</v>
      </c>
      <c r="E20" s="239" t="str">
        <f>+VLOOKUP(B20,'Indice por pilar'!$R$9:$T$32,3,FALSE)</f>
        <v>Pichincha</v>
      </c>
      <c r="F20" s="239" t="str">
        <f>+VLOOKUP(B20,'Indice por pilar'!$X$9:$Z$32,3,FALSE)</f>
        <v>Cotopaxi</v>
      </c>
      <c r="G20" s="239" t="str">
        <f>VLOOKUP(B20,'Indice por pilar'!$BH$9:$BJ$32,3,FALSE)</f>
        <v>Pastaza</v>
      </c>
      <c r="H20" s="239" t="str">
        <f>VLOOKUP(B20,'Indice por pilar'!$AD$9:$AF$32,3,FALSE)</f>
        <v>Loja</v>
      </c>
      <c r="I20" s="239" t="str">
        <f>VLOOKUP(B20,'Indice por pilar'!$AJ$9:$AL$32,3,FALSE)</f>
        <v>Santa Elena</v>
      </c>
      <c r="J20" s="239" t="str">
        <f>VLOOKUP(B20,'Indice por pilar'!$AP$9:$AR$32,3,FALSE)</f>
        <v>Los Ríos</v>
      </c>
      <c r="K20" s="239" t="str">
        <f>VLOOKUP(B20,'Indice por pilar'!$BN$9:$BP$32,3,FALSE)</f>
        <v>Sucumbíos</v>
      </c>
      <c r="L20" s="239" t="str">
        <f>VLOOKUP(B20,'Indice por pilar'!$BT$9:$BV$32,3,FALSE)</f>
        <v>Chimborazo</v>
      </c>
      <c r="M20" s="239" t="str">
        <f>VLOOKUP(B20,'Indice por pilar'!$AV$9:$AX$32,3,FALSE)</f>
        <v>Santa Elena</v>
      </c>
      <c r="N20" s="239" t="str">
        <f>VLOOKUP(B20,'Indice por pilar'!$BZ$9:$CB$32,3,FALSE)</f>
        <v>Cotopaxi</v>
      </c>
      <c r="O20" s="239" t="str">
        <f>VLOOKUP(B20,'Indice por pilar'!$F$8:$H$32,3,FALSE)</f>
        <v>Cotopaxi</v>
      </c>
      <c r="P20" s="240">
        <f t="shared" si="1"/>
        <v>13</v>
      </c>
    </row>
    <row r="21" spans="2:16" s="240" customFormat="1" ht="26" customHeight="1">
      <c r="B21" s="148">
        <v>14</v>
      </c>
      <c r="C21" s="239" t="str">
        <f>+VLOOKUP(B21,'Indice por pilar'!$F$9:$H$32,3,FALSE)</f>
        <v>Los Ríos</v>
      </c>
      <c r="D21" s="239" t="str">
        <f>+VLOOKUP(B21,'Indice por pilar'!$L$9:$N$32,3,FALSE)</f>
        <v>Santo Domingo de los Tsachilas</v>
      </c>
      <c r="E21" s="239" t="str">
        <f>+VLOOKUP(B21,'Indice por pilar'!$R$9:$T$32,3,FALSE)</f>
        <v>Zamora Chinchipe</v>
      </c>
      <c r="F21" s="239" t="str">
        <f>+VLOOKUP(B21,'Indice por pilar'!$X$9:$Z$32,3,FALSE)</f>
        <v>Esmeraldas</v>
      </c>
      <c r="G21" s="239" t="str">
        <f>VLOOKUP(B21,'Indice por pilar'!$BH$9:$BJ$32,3,FALSE)</f>
        <v>Tungurahua</v>
      </c>
      <c r="H21" s="239" t="str">
        <f>VLOOKUP(B21,'Indice por pilar'!$AD$9:$AF$32,3,FALSE)</f>
        <v>Santa Elena</v>
      </c>
      <c r="I21" s="239" t="str">
        <f>VLOOKUP(B21,'Indice por pilar'!$AJ$9:$AL$32,3,FALSE)</f>
        <v>Tungurahua</v>
      </c>
      <c r="J21" s="239" t="str">
        <f>VLOOKUP(B21,'Indice por pilar'!$AP$9:$AR$32,3,FALSE)</f>
        <v>Chimborazo</v>
      </c>
      <c r="K21" s="239" t="str">
        <f>VLOOKUP(B21,'Indice por pilar'!$BN$9:$BP$32,3,FALSE)</f>
        <v>Tungurahua</v>
      </c>
      <c r="L21" s="239" t="str">
        <f>VLOOKUP(B21,'Indice por pilar'!$BT$9:$BV$32,3,FALSE)</f>
        <v>Pichincha</v>
      </c>
      <c r="M21" s="239" t="str">
        <f>VLOOKUP(B21,'Indice por pilar'!$AV$9:$AX$32,3,FALSE)</f>
        <v>Esmeraldas</v>
      </c>
      <c r="N21" s="239" t="str">
        <f>VLOOKUP(B21,'Indice por pilar'!$BZ$9:$CB$32,3,FALSE)</f>
        <v>Guayas</v>
      </c>
      <c r="O21" s="239" t="str">
        <f>VLOOKUP(B21,'Indice por pilar'!$F$8:$H$32,3,FALSE)</f>
        <v>Los Ríos</v>
      </c>
      <c r="P21" s="240">
        <f t="shared" si="1"/>
        <v>14</v>
      </c>
    </row>
    <row r="22" spans="2:16" s="240" customFormat="1" ht="26" customHeight="1">
      <c r="B22" s="148">
        <v>15</v>
      </c>
      <c r="C22" s="239" t="str">
        <f>+VLOOKUP(B22,'Indice por pilar'!$F$9:$H$32,3,FALSE)</f>
        <v>Manabí</v>
      </c>
      <c r="D22" s="239" t="str">
        <f>+VLOOKUP(B22,'Indice por pilar'!$L$9:$N$32,3,FALSE)</f>
        <v>Pastaza</v>
      </c>
      <c r="E22" s="239" t="str">
        <f>+VLOOKUP(B22,'Indice por pilar'!$R$9:$T$32,3,FALSE)</f>
        <v>Manabí</v>
      </c>
      <c r="F22" s="239" t="str">
        <f>+VLOOKUP(B22,'Indice por pilar'!$X$9:$Z$32,3,FALSE)</f>
        <v>Santa Elena</v>
      </c>
      <c r="G22" s="239" t="str">
        <f>VLOOKUP(B22,'Indice por pilar'!$BH$9:$BJ$32,3,FALSE)</f>
        <v>Guayas</v>
      </c>
      <c r="H22" s="239" t="str">
        <f>VLOOKUP(B22,'Indice por pilar'!$AD$9:$AF$32,3,FALSE)</f>
        <v>Los Ríos</v>
      </c>
      <c r="I22" s="239" t="str">
        <f>VLOOKUP(B22,'Indice por pilar'!$AJ$9:$AL$32,3,FALSE)</f>
        <v>Napo</v>
      </c>
      <c r="J22" s="239" t="str">
        <f>VLOOKUP(B22,'Indice por pilar'!$AP$9:$AR$32,3,FALSE)</f>
        <v>Cañar</v>
      </c>
      <c r="K22" s="239" t="str">
        <f>VLOOKUP(B22,'Indice por pilar'!$BN$9:$BP$32,3,FALSE)</f>
        <v>Pichincha</v>
      </c>
      <c r="L22" s="239" t="str">
        <f>VLOOKUP(B22,'Indice por pilar'!$BT$9:$BV$32,3,FALSE)</f>
        <v>Napo</v>
      </c>
      <c r="M22" s="239" t="str">
        <f>VLOOKUP(B22,'Indice por pilar'!$AV$9:$AX$32,3,FALSE)</f>
        <v>Napo</v>
      </c>
      <c r="N22" s="239" t="str">
        <f>VLOOKUP(B22,'Indice por pilar'!$BZ$9:$CB$32,3,FALSE)</f>
        <v>El Oro</v>
      </c>
      <c r="O22" s="239" t="str">
        <f>VLOOKUP(B22,'Indice por pilar'!$F$8:$H$32,3,FALSE)</f>
        <v>Manabí</v>
      </c>
      <c r="P22" s="240">
        <f t="shared" si="1"/>
        <v>15</v>
      </c>
    </row>
    <row r="23" spans="2:16" s="240" customFormat="1" ht="26" customHeight="1">
      <c r="B23" s="148">
        <v>16</v>
      </c>
      <c r="C23" s="239" t="str">
        <f>+VLOOKUP(B23,'Indice por pilar'!$F$9:$H$32,3,FALSE)</f>
        <v>Carchi</v>
      </c>
      <c r="D23" s="239" t="str">
        <f>+VLOOKUP(B23,'Indice por pilar'!$L$9:$N$32,3,FALSE)</f>
        <v>Morona Santiago</v>
      </c>
      <c r="E23" s="239" t="str">
        <f>+VLOOKUP(B23,'Indice por pilar'!$R$9:$T$32,3,FALSE)</f>
        <v>Carchi</v>
      </c>
      <c r="F23" s="239" t="str">
        <f>+VLOOKUP(B23,'Indice por pilar'!$X$9:$Z$32,3,FALSE)</f>
        <v>Chimborazo</v>
      </c>
      <c r="G23" s="239" t="str">
        <f>VLOOKUP(B23,'Indice por pilar'!$BH$9:$BJ$32,3,FALSE)</f>
        <v>Sucumbíos</v>
      </c>
      <c r="H23" s="239" t="str">
        <f>VLOOKUP(B23,'Indice por pilar'!$AD$9:$AF$32,3,FALSE)</f>
        <v>Cotopaxi</v>
      </c>
      <c r="I23" s="239" t="str">
        <f>VLOOKUP(B23,'Indice por pilar'!$AJ$9:$AL$32,3,FALSE)</f>
        <v>Cañar</v>
      </c>
      <c r="J23" s="239" t="str">
        <f>VLOOKUP(B23,'Indice por pilar'!$AP$9:$AR$32,3,FALSE)</f>
        <v>Pastaza</v>
      </c>
      <c r="K23" s="239" t="str">
        <f>VLOOKUP(B23,'Indice por pilar'!$BN$9:$BP$32,3,FALSE)</f>
        <v>Santa Elena</v>
      </c>
      <c r="L23" s="239" t="str">
        <f>VLOOKUP(B23,'Indice por pilar'!$BT$9:$BV$32,3,FALSE)</f>
        <v>Bolívar</v>
      </c>
      <c r="M23" s="239" t="str">
        <f>VLOOKUP(B23,'Indice por pilar'!$AV$9:$AX$32,3,FALSE)</f>
        <v>Cotopaxi</v>
      </c>
      <c r="N23" s="239" t="str">
        <f>VLOOKUP(B23,'Indice por pilar'!$BZ$9:$CB$32,3,FALSE)</f>
        <v>Santo Domingo de los Tsachilas</v>
      </c>
      <c r="O23" s="239" t="str">
        <f>VLOOKUP(B23,'Indice por pilar'!$F$8:$H$32,3,FALSE)</f>
        <v>Carchi</v>
      </c>
      <c r="P23" s="240">
        <f t="shared" si="1"/>
        <v>16</v>
      </c>
    </row>
    <row r="24" spans="2:16" s="240" customFormat="1" ht="26" customHeight="1">
      <c r="B24" s="148">
        <v>17</v>
      </c>
      <c r="C24" s="239" t="str">
        <f>+VLOOKUP(B24,'Indice por pilar'!$F$9:$H$32,3,FALSE)</f>
        <v>Pastaza</v>
      </c>
      <c r="D24" s="239" t="str">
        <f>+VLOOKUP(B24,'Indice por pilar'!$L$9:$N$32,3,FALSE)</f>
        <v>Cotopaxi</v>
      </c>
      <c r="E24" s="239" t="str">
        <f>+VLOOKUP(B24,'Indice por pilar'!$R$9:$T$32,3,FALSE)</f>
        <v>Imbabura</v>
      </c>
      <c r="F24" s="239" t="str">
        <f>+VLOOKUP(B24,'Indice por pilar'!$X$9:$Z$32,3,FALSE)</f>
        <v>Los Ríos</v>
      </c>
      <c r="G24" s="239" t="str">
        <f>VLOOKUP(B24,'Indice por pilar'!$BH$9:$BJ$32,3,FALSE)</f>
        <v>Carchi</v>
      </c>
      <c r="H24" s="239" t="str">
        <f>VLOOKUP(B24,'Indice por pilar'!$AD$9:$AF$32,3,FALSE)</f>
        <v>Esmeraldas</v>
      </c>
      <c r="I24" s="239" t="str">
        <f>VLOOKUP(B24,'Indice por pilar'!$AJ$9:$AL$32,3,FALSE)</f>
        <v>Bolívar</v>
      </c>
      <c r="J24" s="239" t="str">
        <f>VLOOKUP(B24,'Indice por pilar'!$AP$9:$AR$32,3,FALSE)</f>
        <v>Carchi</v>
      </c>
      <c r="K24" s="239" t="str">
        <f>VLOOKUP(B24,'Indice por pilar'!$BN$9:$BP$32,3,FALSE)</f>
        <v>Imbabura</v>
      </c>
      <c r="L24" s="239" t="str">
        <f>VLOOKUP(B24,'Indice por pilar'!$BT$9:$BV$32,3,FALSE)</f>
        <v>Azuay</v>
      </c>
      <c r="M24" s="239" t="str">
        <f>VLOOKUP(B24,'Indice por pilar'!$AV$9:$AX$32,3,FALSE)</f>
        <v>Loja</v>
      </c>
      <c r="N24" s="239" t="str">
        <f>VLOOKUP(B24,'Indice por pilar'!$BZ$9:$CB$32,3,FALSE)</f>
        <v>Napo</v>
      </c>
      <c r="O24" s="239" t="str">
        <f>VLOOKUP(B24,'Indice por pilar'!$F$8:$H$32,3,FALSE)</f>
        <v>Pastaza</v>
      </c>
      <c r="P24" s="240">
        <f t="shared" si="1"/>
        <v>17</v>
      </c>
    </row>
    <row r="25" spans="2:16" s="240" customFormat="1" ht="26" customHeight="1">
      <c r="B25" s="148">
        <v>18</v>
      </c>
      <c r="C25" s="239" t="str">
        <f>+VLOOKUP(B25,'Indice por pilar'!$F$9:$H$32,3,FALSE)</f>
        <v>Loja</v>
      </c>
      <c r="D25" s="239" t="str">
        <f>+VLOOKUP(B25,'Indice por pilar'!$L$9:$N$32,3,FALSE)</f>
        <v>Loja</v>
      </c>
      <c r="E25" s="239" t="str">
        <f>+VLOOKUP(B25,'Indice por pilar'!$R$9:$T$32,3,FALSE)</f>
        <v>Santa Elena</v>
      </c>
      <c r="F25" s="239" t="str">
        <f>+VLOOKUP(B25,'Indice por pilar'!$X$9:$Z$32,3,FALSE)</f>
        <v>Carchi</v>
      </c>
      <c r="G25" s="239" t="str">
        <f>VLOOKUP(B25,'Indice por pilar'!$BH$9:$BJ$32,3,FALSE)</f>
        <v>Santo Domingo de los Tsachilas</v>
      </c>
      <c r="H25" s="239" t="str">
        <f>VLOOKUP(B25,'Indice por pilar'!$AD$9:$AF$32,3,FALSE)</f>
        <v>Pastaza</v>
      </c>
      <c r="I25" s="239" t="str">
        <f>VLOOKUP(B25,'Indice por pilar'!$AJ$9:$AL$32,3,FALSE)</f>
        <v>Chimborazo</v>
      </c>
      <c r="J25" s="239" t="str">
        <f>VLOOKUP(B25,'Indice por pilar'!$AP$9:$AR$32,3,FALSE)</f>
        <v>Francisco de Orellana</v>
      </c>
      <c r="K25" s="239" t="str">
        <f>VLOOKUP(B25,'Indice por pilar'!$BN$9:$BP$32,3,FALSE)</f>
        <v>Carchi</v>
      </c>
      <c r="L25" s="239" t="str">
        <f>VLOOKUP(B25,'Indice por pilar'!$BT$9:$BV$32,3,FALSE)</f>
        <v>Sucumbíos</v>
      </c>
      <c r="M25" s="239" t="str">
        <f>VLOOKUP(B25,'Indice por pilar'!$AV$9:$AX$32,3,FALSE)</f>
        <v>Chimborazo</v>
      </c>
      <c r="N25" s="239" t="str">
        <f>VLOOKUP(B25,'Indice por pilar'!$BZ$9:$CB$32,3,FALSE)</f>
        <v>Manabí</v>
      </c>
      <c r="O25" s="239" t="str">
        <f>VLOOKUP(B25,'Indice por pilar'!$F$8:$H$32,3,FALSE)</f>
        <v>Loja</v>
      </c>
      <c r="P25" s="240">
        <f t="shared" si="1"/>
        <v>18</v>
      </c>
    </row>
    <row r="26" spans="2:16" s="240" customFormat="1" ht="26" customHeight="1">
      <c r="B26" s="148">
        <v>19</v>
      </c>
      <c r="C26" s="239" t="str">
        <f>+VLOOKUP(B26,'Indice por pilar'!$F$9:$H$32,3,FALSE)</f>
        <v>Bolívar</v>
      </c>
      <c r="D26" s="239" t="str">
        <f>+VLOOKUP(B26,'Indice por pilar'!$L$9:$N$32,3,FALSE)</f>
        <v>Esmeraldas</v>
      </c>
      <c r="E26" s="239" t="str">
        <f>+VLOOKUP(B26,'Indice por pilar'!$R$9:$T$32,3,FALSE)</f>
        <v>Napo</v>
      </c>
      <c r="F26" s="239" t="str">
        <f>+VLOOKUP(B26,'Indice por pilar'!$X$9:$Z$32,3,FALSE)</f>
        <v>Pastaza</v>
      </c>
      <c r="G26" s="239" t="str">
        <f>VLOOKUP(B26,'Indice por pilar'!$BH$9:$BJ$32,3,FALSE)</f>
        <v>Los Ríos</v>
      </c>
      <c r="H26" s="239" t="str">
        <f>VLOOKUP(B26,'Indice por pilar'!$AD$9:$AF$32,3,FALSE)</f>
        <v>Napo</v>
      </c>
      <c r="I26" s="239" t="str">
        <f>VLOOKUP(B26,'Indice por pilar'!$AJ$9:$AL$32,3,FALSE)</f>
        <v>Pastaza</v>
      </c>
      <c r="J26" s="239" t="str">
        <f>VLOOKUP(B26,'Indice por pilar'!$AP$9:$AR$32,3,FALSE)</f>
        <v>Loja</v>
      </c>
      <c r="K26" s="239" t="str">
        <f>VLOOKUP(B26,'Indice por pilar'!$BN$9:$BP$32,3,FALSE)</f>
        <v>Chimborazo</v>
      </c>
      <c r="L26" s="239" t="str">
        <f>VLOOKUP(B26,'Indice por pilar'!$BT$9:$BV$32,3,FALSE)</f>
        <v>Loja</v>
      </c>
      <c r="M26" s="239" t="str">
        <f>VLOOKUP(B26,'Indice por pilar'!$AV$9:$AX$32,3,FALSE)</f>
        <v>Bolívar</v>
      </c>
      <c r="N26" s="239" t="str">
        <f>VLOOKUP(B26,'Indice por pilar'!$BZ$9:$CB$32,3,FALSE)</f>
        <v>Los Ríos</v>
      </c>
      <c r="O26" s="239" t="str">
        <f>VLOOKUP(B26,'Indice por pilar'!$F$8:$H$32,3,FALSE)</f>
        <v>Bolívar</v>
      </c>
      <c r="P26" s="240">
        <f t="shared" si="1"/>
        <v>19</v>
      </c>
    </row>
    <row r="27" spans="2:16" s="240" customFormat="1" ht="26" customHeight="1">
      <c r="B27" s="148">
        <v>20</v>
      </c>
      <c r="C27" s="239" t="str">
        <f>+VLOOKUP(B27,'Indice por pilar'!$F$9:$H$32,3,FALSE)</f>
        <v>Morona Santiago</v>
      </c>
      <c r="D27" s="239" t="str">
        <f>+VLOOKUP(B27,'Indice por pilar'!$L$9:$N$32,3,FALSE)</f>
        <v>Manabí</v>
      </c>
      <c r="E27" s="239" t="str">
        <f>+VLOOKUP(B27,'Indice por pilar'!$R$9:$T$32,3,FALSE)</f>
        <v>Loja</v>
      </c>
      <c r="F27" s="239" t="str">
        <f>+VLOOKUP(B27,'Indice por pilar'!$X$9:$Z$32,3,FALSE)</f>
        <v>Cañar</v>
      </c>
      <c r="G27" s="239" t="str">
        <f>VLOOKUP(B27,'Indice por pilar'!$BH$9:$BJ$32,3,FALSE)</f>
        <v>Loja</v>
      </c>
      <c r="H27" s="239" t="str">
        <f>VLOOKUP(B27,'Indice por pilar'!$AD$9:$AF$32,3,FALSE)</f>
        <v>Zamora Chinchipe</v>
      </c>
      <c r="I27" s="239" t="str">
        <f>VLOOKUP(B27,'Indice por pilar'!$AJ$9:$AL$32,3,FALSE)</f>
        <v>Morona Santiago</v>
      </c>
      <c r="J27" s="239" t="str">
        <f>VLOOKUP(B27,'Indice por pilar'!$AP$9:$AR$32,3,FALSE)</f>
        <v>Sucumbíos</v>
      </c>
      <c r="K27" s="239" t="str">
        <f>VLOOKUP(B27,'Indice por pilar'!$BN$9:$BP$32,3,FALSE)</f>
        <v>El Oro</v>
      </c>
      <c r="L27" s="239" t="str">
        <f>VLOOKUP(B27,'Indice por pilar'!$BT$9:$BV$32,3,FALSE)</f>
        <v>Cotopaxi</v>
      </c>
      <c r="M27" s="239" t="str">
        <f>VLOOKUP(B27,'Indice por pilar'!$AV$9:$AX$32,3,FALSE)</f>
        <v>Pastaza</v>
      </c>
      <c r="N27" s="239" t="str">
        <f>VLOOKUP(B27,'Indice por pilar'!$BZ$9:$CB$32,3,FALSE)</f>
        <v>Esmeraldas</v>
      </c>
      <c r="O27" s="239" t="str">
        <f>VLOOKUP(B27,'Indice por pilar'!$F$8:$H$32,3,FALSE)</f>
        <v>Morona Santiago</v>
      </c>
      <c r="P27" s="240">
        <f t="shared" si="1"/>
        <v>20</v>
      </c>
    </row>
    <row r="28" spans="2:16" s="240" customFormat="1" ht="26" customHeight="1">
      <c r="B28" s="148">
        <v>21</v>
      </c>
      <c r="C28" s="239" t="str">
        <f>+VLOOKUP(B28,'Indice por pilar'!$F$9:$H$32,3,FALSE)</f>
        <v>Esmeraldas</v>
      </c>
      <c r="D28" s="239" t="str">
        <f>+VLOOKUP(B28,'Indice por pilar'!$L$9:$N$32,3,FALSE)</f>
        <v>Carchi</v>
      </c>
      <c r="E28" s="239" t="str">
        <f>+VLOOKUP(B28,'Indice por pilar'!$R$9:$T$32,3,FALSE)</f>
        <v>Sucumbíos</v>
      </c>
      <c r="F28" s="239" t="str">
        <f>+VLOOKUP(B28,'Indice por pilar'!$X$9:$Z$32,3,FALSE)</f>
        <v>Morona Santiago</v>
      </c>
      <c r="G28" s="239" t="str">
        <f>VLOOKUP(B28,'Indice por pilar'!$BH$9:$BJ$32,3,FALSE)</f>
        <v>Cotopaxi</v>
      </c>
      <c r="H28" s="239" t="str">
        <f>VLOOKUP(B28,'Indice por pilar'!$AD$9:$AF$32,3,FALSE)</f>
        <v>Morona Santiago</v>
      </c>
      <c r="I28" s="239" t="str">
        <f>VLOOKUP(B28,'Indice por pilar'!$AJ$9:$AL$32,3,FALSE)</f>
        <v>Francisco de Orellana</v>
      </c>
      <c r="J28" s="239" t="str">
        <f>VLOOKUP(B28,'Indice por pilar'!$AP$9:$AR$32,3,FALSE)</f>
        <v>Esmeraldas</v>
      </c>
      <c r="K28" s="239" t="str">
        <f>VLOOKUP(B28,'Indice por pilar'!$BN$9:$BP$32,3,FALSE)</f>
        <v>Azuay</v>
      </c>
      <c r="L28" s="239" t="str">
        <f>VLOOKUP(B28,'Indice por pilar'!$BT$9:$BV$32,3,FALSE)</f>
        <v>Santo Domingo de los Tsachilas</v>
      </c>
      <c r="M28" s="239" t="str">
        <f>VLOOKUP(B28,'Indice por pilar'!$AV$9:$AX$32,3,FALSE)</f>
        <v>Sucumbíos</v>
      </c>
      <c r="N28" s="239" t="str">
        <f>VLOOKUP(B28,'Indice por pilar'!$BZ$9:$CB$32,3,FALSE)</f>
        <v>Santa Elena</v>
      </c>
      <c r="O28" s="239" t="str">
        <f>VLOOKUP(B28,'Indice por pilar'!$F$8:$H$32,3,FALSE)</f>
        <v>Esmeraldas</v>
      </c>
      <c r="P28" s="240">
        <f t="shared" si="1"/>
        <v>21</v>
      </c>
    </row>
    <row r="29" spans="2:16" s="240" customFormat="1" ht="26" customHeight="1">
      <c r="B29" s="148">
        <v>22</v>
      </c>
      <c r="C29" s="239" t="str">
        <f>+VLOOKUP(B29,'Indice por pilar'!$F$9:$H$32,3,FALSE)</f>
        <v>Zamora Chinchipe</v>
      </c>
      <c r="D29" s="239" t="str">
        <f>+VLOOKUP(B29,'Indice por pilar'!$L$9:$N$32,3,FALSE)</f>
        <v>Napo</v>
      </c>
      <c r="E29" s="239" t="str">
        <f>+VLOOKUP(B29,'Indice por pilar'!$R$9:$T$32,3,FALSE)</f>
        <v>Esmeraldas</v>
      </c>
      <c r="F29" s="239" t="str">
        <f>+VLOOKUP(B29,'Indice por pilar'!$X$9:$Z$32,3,FALSE)</f>
        <v>Zamora Chinchipe</v>
      </c>
      <c r="G29" s="239" t="str">
        <f>VLOOKUP(B29,'Indice por pilar'!$BH$9:$BJ$32,3,FALSE)</f>
        <v>Manabí</v>
      </c>
      <c r="H29" s="239" t="str">
        <f>VLOOKUP(B29,'Indice por pilar'!$AD$9:$AF$32,3,FALSE)</f>
        <v>Sucumbíos</v>
      </c>
      <c r="I29" s="239" t="str">
        <f>VLOOKUP(B29,'Indice por pilar'!$AJ$9:$AL$32,3,FALSE)</f>
        <v>Zamora Chinchipe</v>
      </c>
      <c r="J29" s="239" t="str">
        <f>VLOOKUP(B29,'Indice por pilar'!$AP$9:$AR$32,3,FALSE)</f>
        <v>Morona Santiago</v>
      </c>
      <c r="K29" s="239" t="str">
        <f>VLOOKUP(B29,'Indice por pilar'!$BN$9:$BP$32,3,FALSE)</f>
        <v>Cañar</v>
      </c>
      <c r="L29" s="239" t="str">
        <f>VLOOKUP(B29,'Indice por pilar'!$BT$9:$BV$32,3,FALSE)</f>
        <v>Esmeraldas</v>
      </c>
      <c r="M29" s="239" t="str">
        <f>VLOOKUP(B29,'Indice por pilar'!$AV$9:$AX$32,3,FALSE)</f>
        <v>Zamora Chinchipe</v>
      </c>
      <c r="N29" s="239" t="str">
        <f>VLOOKUP(B29,'Indice por pilar'!$BZ$9:$CB$32,3,FALSE)</f>
        <v>Morona Santiago</v>
      </c>
      <c r="O29" s="239" t="str">
        <f>VLOOKUP(B29,'Indice por pilar'!$F$8:$H$32,3,FALSE)</f>
        <v>Zamora Chinchipe</v>
      </c>
      <c r="P29" s="240">
        <f t="shared" si="1"/>
        <v>22</v>
      </c>
    </row>
    <row r="30" spans="2:16" s="240" customFormat="1" ht="26" customHeight="1">
      <c r="B30" s="148">
        <v>23</v>
      </c>
      <c r="C30" s="239" t="str">
        <f>+VLOOKUP(B30,'Indice por pilar'!$F$9:$H$32,3,FALSE)</f>
        <v>Sucumbíos</v>
      </c>
      <c r="D30" s="239" t="str">
        <f>+VLOOKUP(B30,'Indice por pilar'!$L$9:$N$32,3,FALSE)</f>
        <v>Zamora Chinchipe</v>
      </c>
      <c r="E30" s="239" t="str">
        <f>+VLOOKUP(B30,'Indice por pilar'!$R$9:$T$32,3,FALSE)</f>
        <v>Los Ríos</v>
      </c>
      <c r="F30" s="239" t="str">
        <f>+VLOOKUP(B30,'Indice por pilar'!$X$9:$Z$32,3,FALSE)</f>
        <v>Napo</v>
      </c>
      <c r="G30" s="239" t="str">
        <f>VLOOKUP(B30,'Indice por pilar'!$BH$9:$BJ$32,3,FALSE)</f>
        <v>Esmeraldas</v>
      </c>
      <c r="H30" s="239" t="str">
        <f>VLOOKUP(B30,'Indice por pilar'!$AD$9:$AF$32,3,FALSE)</f>
        <v>Francisco de Orellana</v>
      </c>
      <c r="I30" s="239" t="str">
        <f>VLOOKUP(B30,'Indice por pilar'!$AJ$9:$AL$32,3,FALSE)</f>
        <v>Loja</v>
      </c>
      <c r="J30" s="239" t="str">
        <f>VLOOKUP(B30,'Indice por pilar'!$AP$9:$AR$32,3,FALSE)</f>
        <v>Zamora Chinchipe</v>
      </c>
      <c r="K30" s="239" t="str">
        <f>VLOOKUP(B30,'Indice por pilar'!$BN$9:$BP$32,3,FALSE)</f>
        <v>Cotopaxi</v>
      </c>
      <c r="L30" s="239" t="str">
        <f>VLOOKUP(B30,'Indice por pilar'!$BT$9:$BV$32,3,FALSE)</f>
        <v>Manabí</v>
      </c>
      <c r="M30" s="239" t="str">
        <f>VLOOKUP(B30,'Indice por pilar'!$AV$9:$AX$32,3,FALSE)</f>
        <v>Francisco de Orellana</v>
      </c>
      <c r="N30" s="239" t="str">
        <f>VLOOKUP(B30,'Indice por pilar'!$BZ$9:$CB$32,3,FALSE)</f>
        <v>Francisco de Orellana</v>
      </c>
      <c r="O30" s="239" t="str">
        <f>VLOOKUP(B30,'Indice por pilar'!$F$8:$H$32,3,FALSE)</f>
        <v>Sucumbíos</v>
      </c>
      <c r="P30" s="240">
        <f t="shared" si="1"/>
        <v>23</v>
      </c>
    </row>
    <row r="31" spans="2:16" s="240" customFormat="1" ht="26" customHeight="1">
      <c r="B31" s="148">
        <v>24</v>
      </c>
      <c r="C31" s="239" t="str">
        <f>+VLOOKUP(B31,'Indice por pilar'!$F$9:$H$32,3,FALSE)</f>
        <v>Napo</v>
      </c>
      <c r="D31" s="239" t="str">
        <f>+VLOOKUP(B31,'Indice por pilar'!$L$9:$N$32,3,FALSE)</f>
        <v>Bolívar</v>
      </c>
      <c r="E31" s="239" t="str">
        <f>+VLOOKUP(B31,'Indice por pilar'!$R$9:$T$32,3,FALSE)</f>
        <v>Guayas</v>
      </c>
      <c r="F31" s="239" t="str">
        <f>+VLOOKUP(B31,'Indice por pilar'!$X$9:$Z$32,3,FALSE)</f>
        <v>Bolívar</v>
      </c>
      <c r="G31" s="239" t="str">
        <f>VLOOKUP(B31,'Indice por pilar'!$BH$9:$BJ$32,3,FALSE)</f>
        <v>Bolívar</v>
      </c>
      <c r="H31" s="239" t="str">
        <f>VLOOKUP(B31,'Indice por pilar'!$AD$9:$AF$32,3,FALSE)</f>
        <v>Galápagos</v>
      </c>
      <c r="I31" s="239" t="str">
        <f>VLOOKUP(B31,'Indice por pilar'!$AJ$9:$AL$32,3,FALSE)</f>
        <v>Sucumbíos</v>
      </c>
      <c r="J31" s="239" t="str">
        <f>VLOOKUP(B31,'Indice por pilar'!$AP$9:$AR$32,3,FALSE)</f>
        <v>Napo</v>
      </c>
      <c r="K31" s="239" t="str">
        <f>VLOOKUP(B31,'Indice por pilar'!$BN$9:$BP$32,3,FALSE)</f>
        <v>Loja</v>
      </c>
      <c r="L31" s="239" t="str">
        <f>VLOOKUP(B31,'Indice por pilar'!$BT$9:$BV$32,3,FALSE)</f>
        <v>Guayas</v>
      </c>
      <c r="M31" s="239" t="str">
        <f>VLOOKUP(B31,'Indice por pilar'!$AV$9:$AX$32,3,FALSE)</f>
        <v>Morona Santiago</v>
      </c>
      <c r="N31" s="239" t="str">
        <f>VLOOKUP(B31,'Indice por pilar'!$BZ$9:$CB$32,3,FALSE)</f>
        <v>Sucumbíos</v>
      </c>
      <c r="O31" s="239" t="str">
        <f>VLOOKUP(B31,'Indice por pilar'!$F$8:$H$32,3,FALSE)</f>
        <v>Napo</v>
      </c>
      <c r="P31" s="240">
        <f t="shared" si="1"/>
        <v>24</v>
      </c>
    </row>
    <row r="33" spans="3:15" hidden="1">
      <c r="C33" s="227">
        <f>+VLOOKUP($H$4,$C$8:$P$31,14,FALSE)</f>
        <v>3</v>
      </c>
      <c r="D33" s="227">
        <f>+VLOOKUP($H$4,$D$8:$P$31,13,FALSE)</f>
        <v>5</v>
      </c>
      <c r="E33" s="227">
        <f>+VLOOKUP($H$4,$E$8:$P$31,12,FALSE)</f>
        <v>24</v>
      </c>
      <c r="F33" s="227">
        <f>+VLOOKUP($H$4,$F$8:$P$31,11,FALSE)</f>
        <v>2</v>
      </c>
      <c r="G33" s="227">
        <f>+VLOOKUP($H$4,$G$8:$P$31,10,FALSE)</f>
        <v>15</v>
      </c>
      <c r="H33" s="227">
        <f>+VLOOKUP($H$4,$H$8:$P$31,9,FALSE)</f>
        <v>3</v>
      </c>
      <c r="I33" s="227">
        <f>+VLOOKUP($H$4,$I$8:$P$31,8,FALSE)</f>
        <v>2</v>
      </c>
      <c r="J33" s="227">
        <f>+VLOOKUP($H$4,$J$8:$P$31,7,FALSE)</f>
        <v>2</v>
      </c>
      <c r="K33" s="227">
        <f>+VLOOKUP($H$4,$K$8:$P$31,6,FALSE)</f>
        <v>12</v>
      </c>
      <c r="L33" s="227">
        <f>+VLOOKUP($H$4,$L$8:$P$31,5,FALSE)</f>
        <v>24</v>
      </c>
      <c r="M33" s="227">
        <f>+VLOOKUP($H$4,$M$8:$P$31,4,FALSE)</f>
        <v>2</v>
      </c>
      <c r="N33" s="227">
        <f>+VLOOKUP($H$4,$N$8:$P$31,3,FALSE)</f>
        <v>14</v>
      </c>
      <c r="O33" s="227">
        <f>+VLOOKUP($H$4,$O$8:$P$31,2,FALSE)</f>
        <v>3</v>
      </c>
    </row>
    <row r="34" spans="3:15" ht="22" customHeight="1">
      <c r="C34" s="228" t="s">
        <v>382</v>
      </c>
      <c r="D34" s="228"/>
      <c r="E34" s="228"/>
      <c r="F34" s="228"/>
    </row>
  </sheetData>
  <mergeCells count="2">
    <mergeCell ref="C34:F34"/>
    <mergeCell ref="F3:L3"/>
  </mergeCells>
  <conditionalFormatting sqref="C8:O31">
    <cfRule type="cellIs" dxfId="0" priority="1" operator="equal">
      <formula>$H$4</formula>
    </cfRule>
  </conditionalFormatting>
  <hyperlinks>
    <hyperlink ref="O4" location="Indice!A1" display="ÍNDICE"/>
    <hyperlink ref="N4" location="Indice!A1" display="ÍNDICE"/>
  </hyperlinks>
  <pageMargins left="0.75" right="0.75" top="1" bottom="1" header="0.5" footer="0.5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4"/>
  <sheetViews>
    <sheetView workbookViewId="0">
      <selection activeCell="N4" sqref="N4"/>
    </sheetView>
  </sheetViews>
  <sheetFormatPr baseColWidth="10" defaultRowHeight="15" x14ac:dyDescent="0"/>
  <cols>
    <col min="1" max="1" width="21.1640625" style="212" customWidth="1"/>
    <col min="2" max="14" width="14.83203125" style="212" customWidth="1"/>
    <col min="15" max="16384" width="10.83203125" style="212"/>
  </cols>
  <sheetData>
    <row r="2" spans="1:14">
      <c r="L2" s="213" t="s">
        <v>393</v>
      </c>
    </row>
    <row r="3" spans="1:14" ht="25">
      <c r="D3" s="215" t="s">
        <v>389</v>
      </c>
      <c r="E3" s="215"/>
      <c r="F3" s="215"/>
      <c r="G3" s="215"/>
      <c r="H3" s="215"/>
      <c r="I3" s="215"/>
      <c r="J3" s="215"/>
    </row>
    <row r="4" spans="1:14" ht="25">
      <c r="B4" s="214"/>
      <c r="C4" s="214"/>
      <c r="D4" s="215" t="s">
        <v>387</v>
      </c>
      <c r="E4" s="215"/>
      <c r="F4" s="215"/>
      <c r="G4" s="215"/>
      <c r="H4" s="215"/>
      <c r="I4" s="215"/>
      <c r="J4" s="215"/>
      <c r="K4" s="214"/>
      <c r="L4" s="214"/>
      <c r="M4" s="214"/>
      <c r="N4" s="211" t="s">
        <v>393</v>
      </c>
    </row>
    <row r="6" spans="1:14" ht="36">
      <c r="D6" s="216" t="s">
        <v>342</v>
      </c>
      <c r="E6" s="217" t="s">
        <v>19</v>
      </c>
      <c r="F6" s="218"/>
      <c r="G6" s="218"/>
      <c r="H6" s="218"/>
      <c r="I6" s="218"/>
      <c r="J6" s="243" t="s">
        <v>398</v>
      </c>
      <c r="K6" s="242" t="s">
        <v>394</v>
      </c>
    </row>
    <row r="8" spans="1:14" ht="60">
      <c r="A8" s="225"/>
      <c r="B8" s="226" t="str">
        <f>+'Ind. pilar y provincia'!B101</f>
        <v>Desarrollo Integral de las personas</v>
      </c>
      <c r="C8" s="226" t="str">
        <f>+'Ind. pilar y provincia'!C101</f>
        <v>Desempeño Económico</v>
      </c>
      <c r="D8" s="226" t="str">
        <f>+'Ind. pilar y provincia'!D101</f>
        <v>Empleo</v>
      </c>
      <c r="E8" s="226" t="str">
        <f>+'Ind. pilar y provincia'!E101</f>
        <v>Gestión Empresarial</v>
      </c>
      <c r="F8" s="226" t="str">
        <f>+'Ind. pilar y provincia'!F101</f>
        <v>Gestión, Gobiernos e Instituciones</v>
      </c>
      <c r="G8" s="226" t="str">
        <f>+'Ind. pilar y provincia'!G101</f>
        <v>Infraestructura y Localización</v>
      </c>
      <c r="H8" s="226" t="str">
        <f>+'Ind. pilar y provincia'!H101</f>
        <v>Internacionalización y Apertura</v>
      </c>
      <c r="I8" s="226" t="str">
        <f>+'Ind. pilar y provincia'!I101</f>
        <v>Mercados financieros</v>
      </c>
      <c r="J8" s="226" t="str">
        <f>+'Ind. pilar y provincia'!J101</f>
        <v>Recursos Naturales y Ambiente</v>
      </c>
      <c r="K8" s="226" t="str">
        <f>+'Ind. pilar y provincia'!K101</f>
        <v>Seguridad Jurídica</v>
      </c>
      <c r="L8" s="226" t="str">
        <f>+'Ind. pilar y provincia'!L101</f>
        <v>Urbanización</v>
      </c>
      <c r="M8" s="226" t="str">
        <f>+'Ind. pilar y provincia'!M101</f>
        <v>Habilitantes de Innovación, Ciencia y Tecnología</v>
      </c>
      <c r="N8" s="226" t="str">
        <f>+'Ind. pilar y provincia'!N101</f>
        <v>Total general</v>
      </c>
    </row>
    <row r="9" spans="1:14">
      <c r="A9" s="219" t="str">
        <f>+E6</f>
        <v>Guayas</v>
      </c>
      <c r="B9" s="220">
        <f>+VLOOKUP($A$9,'Ind. pilar y provincia'!$A$131:$N$155,2,FALSE)</f>
        <v>32.868514748600631</v>
      </c>
      <c r="C9" s="220">
        <f>+VLOOKUP($A$9,'Ind. pilar y provincia'!$A$131:$N$155,3,FALSE)</f>
        <v>42.019014291409171</v>
      </c>
      <c r="D9" s="220">
        <f>+VLOOKUP($A$9,'Ind. pilar y provincia'!$A$131:$N$155,4,FALSE)</f>
        <v>25.985485337513303</v>
      </c>
      <c r="E9" s="220">
        <f>+VLOOKUP($A$9,'Ind. pilar y provincia'!$A$131:$N$155,5,FALSE)</f>
        <v>67.129352145025649</v>
      </c>
      <c r="F9" s="220">
        <f>+VLOOKUP($A$9,'Ind. pilar y provincia'!$A$131:$N$155,6,FALSE)</f>
        <v>32.590112305645057</v>
      </c>
      <c r="G9" s="220">
        <f>+VLOOKUP($A$9,'Ind. pilar y provincia'!$A$131:$N$155,7,FALSE)</f>
        <v>72.937120904801702</v>
      </c>
      <c r="H9" s="220">
        <f>+VLOOKUP($A$9,'Ind. pilar y provincia'!$A$131:$N$155,8,FALSE)</f>
        <v>48.468861015080584</v>
      </c>
      <c r="I9" s="220">
        <f>+VLOOKUP($A$9,'Ind. pilar y provincia'!$A$131:$N$155,9,FALSE)</f>
        <v>58.982295857430486</v>
      </c>
      <c r="J9" s="220">
        <f>+VLOOKUP($A$9,'Ind. pilar y provincia'!$A$131:$N$155,10,FALSE)</f>
        <v>45.870857135991358</v>
      </c>
      <c r="K9" s="220">
        <f>+VLOOKUP($A$9,'Ind. pilar y provincia'!$A$131:$N$155,11,FALSE)</f>
        <v>4.2577554880047375</v>
      </c>
      <c r="L9" s="220">
        <f>+VLOOKUP($A$9,'Ind. pilar y provincia'!$A$131:$N$155,12,FALSE)</f>
        <v>67.785111808675751</v>
      </c>
      <c r="M9" s="220">
        <f>+VLOOKUP($A$9,'Ind. pilar y provincia'!$A$131:$N$155,13,FALSE)</f>
        <v>32.450079127539574</v>
      </c>
      <c r="N9" s="220">
        <f>+VLOOKUP($A$9,'Ind. pilar y provincia'!$A$131:$N$155,14,FALSE)</f>
        <v>47.833540790853192</v>
      </c>
    </row>
    <row r="10" spans="1:14">
      <c r="A10" s="219" t="s">
        <v>343</v>
      </c>
      <c r="B10" s="220">
        <f>+'Ind. pilar y provincia'!B126</f>
        <v>44.395274118828063</v>
      </c>
      <c r="C10" s="220">
        <f>+'Ind. pilar y provincia'!C126</f>
        <v>30.680023799963838</v>
      </c>
      <c r="D10" s="220">
        <f>+'Ind. pilar y provincia'!D126</f>
        <v>55.371254128129038</v>
      </c>
      <c r="E10" s="220">
        <f>+'Ind. pilar y provincia'!E126</f>
        <v>28.152546631116454</v>
      </c>
      <c r="F10" s="220">
        <f>+'Ind. pilar y provincia'!F126</f>
        <v>39.22074442093956</v>
      </c>
      <c r="G10" s="220">
        <f>+'Ind. pilar y provincia'!G126</f>
        <v>58.754764143501063</v>
      </c>
      <c r="H10" s="220">
        <f>+'Ind. pilar y provincia'!H126</f>
        <v>14.339373437911618</v>
      </c>
      <c r="I10" s="220">
        <f>+'Ind. pilar y provincia'!I126</f>
        <v>28.733454514443611</v>
      </c>
      <c r="J10" s="220">
        <f>+'Ind. pilar y provincia'!J126</f>
        <v>44.254618156664115</v>
      </c>
      <c r="K10" s="220">
        <f>+'Ind. pilar y provincia'!K126</f>
        <v>34.506151797559561</v>
      </c>
      <c r="L10" s="220">
        <f>+'Ind. pilar y provincia'!L126</f>
        <v>44.79233976783005</v>
      </c>
      <c r="M10" s="220">
        <f>+'Ind. pilar y provincia'!M126</f>
        <v>38.476080188794128</v>
      </c>
      <c r="N10" s="220">
        <f>+'Ind. pilar y provincia'!N126</f>
        <v>37.659020266427028</v>
      </c>
    </row>
    <row r="11" spans="1:14">
      <c r="A11" s="219" t="s">
        <v>383</v>
      </c>
      <c r="B11" s="221">
        <f>+B10/B10</f>
        <v>1</v>
      </c>
      <c r="C11" s="221">
        <f t="shared" ref="C11:N11" si="0">+C10/C10</f>
        <v>1</v>
      </c>
      <c r="D11" s="221">
        <f t="shared" si="0"/>
        <v>1</v>
      </c>
      <c r="E11" s="221">
        <f t="shared" si="0"/>
        <v>1</v>
      </c>
      <c r="F11" s="221">
        <f t="shared" si="0"/>
        <v>1</v>
      </c>
      <c r="G11" s="221">
        <f t="shared" si="0"/>
        <v>1</v>
      </c>
      <c r="H11" s="221">
        <f t="shared" si="0"/>
        <v>1</v>
      </c>
      <c r="I11" s="221">
        <f t="shared" si="0"/>
        <v>1</v>
      </c>
      <c r="J11" s="221">
        <f t="shared" si="0"/>
        <v>1</v>
      </c>
      <c r="K11" s="221">
        <f t="shared" si="0"/>
        <v>1</v>
      </c>
      <c r="L11" s="221">
        <f t="shared" si="0"/>
        <v>1</v>
      </c>
      <c r="M11" s="221">
        <f t="shared" si="0"/>
        <v>1</v>
      </c>
      <c r="N11" s="221">
        <f t="shared" si="0"/>
        <v>1</v>
      </c>
    </row>
    <row r="12" spans="1:14">
      <c r="A12" s="219" t="str">
        <f>+A9</f>
        <v>Guayas</v>
      </c>
      <c r="B12" s="221">
        <f>+B9/$B$10</f>
        <v>0.74036066678234735</v>
      </c>
      <c r="C12" s="221">
        <f t="shared" ref="C12:N12" si="1">+C9/$B$10</f>
        <v>0.94647493737602317</v>
      </c>
      <c r="D12" s="221">
        <f t="shared" si="1"/>
        <v>0.58532097961509921</v>
      </c>
      <c r="E12" s="221">
        <f t="shared" si="1"/>
        <v>1.5120832898868406</v>
      </c>
      <c r="F12" s="221">
        <f t="shared" si="1"/>
        <v>0.73408967401382863</v>
      </c>
      <c r="G12" s="221">
        <f t="shared" si="1"/>
        <v>1.6429028168534052</v>
      </c>
      <c r="H12" s="221">
        <f t="shared" si="1"/>
        <v>1.0917572191433977</v>
      </c>
      <c r="I12" s="221">
        <f t="shared" si="1"/>
        <v>1.3285714983887453</v>
      </c>
      <c r="J12" s="221">
        <f t="shared" si="1"/>
        <v>1.033237389484605</v>
      </c>
      <c r="K12" s="221">
        <f t="shared" si="1"/>
        <v>9.5905601947821301E-2</v>
      </c>
      <c r="L12" s="221">
        <f t="shared" si="1"/>
        <v>1.5268542238807361</v>
      </c>
      <c r="M12" s="221">
        <f t="shared" si="1"/>
        <v>0.73093543787304771</v>
      </c>
      <c r="N12" s="221">
        <f t="shared" si="1"/>
        <v>1.0774466818883084</v>
      </c>
    </row>
    <row r="13" spans="1:14">
      <c r="A13" s="219" t="s">
        <v>319</v>
      </c>
      <c r="B13" s="219">
        <f>+'Ubicación relativa '!C6</f>
        <v>3</v>
      </c>
      <c r="C13" s="219">
        <f>+'Ubicación relativa '!D6</f>
        <v>5</v>
      </c>
      <c r="D13" s="219">
        <f>+'Ubicación relativa '!E6</f>
        <v>24</v>
      </c>
      <c r="E13" s="219">
        <f>+'Ubicación relativa '!F6</f>
        <v>2</v>
      </c>
      <c r="F13" s="219">
        <f>+'Ubicación relativa '!G6</f>
        <v>15</v>
      </c>
      <c r="G13" s="219">
        <f>+'Ubicación relativa '!H6</f>
        <v>3</v>
      </c>
      <c r="H13" s="219">
        <f>+'Ubicación relativa '!I6</f>
        <v>2</v>
      </c>
      <c r="I13" s="219">
        <f>+'Ubicación relativa '!J6</f>
        <v>2</v>
      </c>
      <c r="J13" s="219">
        <f>+'Ubicación relativa '!K6</f>
        <v>12</v>
      </c>
      <c r="K13" s="219">
        <f>+'Ubicación relativa '!L6</f>
        <v>24</v>
      </c>
      <c r="L13" s="219">
        <f>+'Ubicación relativa '!M6</f>
        <v>2</v>
      </c>
      <c r="M13" s="219">
        <f>+'Ubicación relativa '!N6</f>
        <v>14</v>
      </c>
      <c r="N13" s="219">
        <f>+'Ubicación relativa '!O6</f>
        <v>3</v>
      </c>
    </row>
    <row r="14" spans="1:14">
      <c r="B14" s="222"/>
      <c r="C14" s="222"/>
      <c r="D14" s="222"/>
      <c r="E14" s="222"/>
      <c r="F14" s="222"/>
      <c r="G14" s="222"/>
      <c r="H14" s="222"/>
      <c r="I14" s="222"/>
      <c r="J14" s="222"/>
      <c r="K14" s="222"/>
      <c r="L14" s="222"/>
      <c r="M14" s="222"/>
      <c r="N14" s="222"/>
    </row>
    <row r="31" spans="11:13" ht="20">
      <c r="K31" s="223"/>
      <c r="L31" s="223"/>
      <c r="M31" s="223"/>
    </row>
    <row r="32" spans="11:13" ht="20">
      <c r="K32" s="223"/>
      <c r="L32" s="223"/>
      <c r="M32" s="223"/>
    </row>
    <row r="33" spans="1:13" ht="20">
      <c r="K33" s="223"/>
      <c r="L33" s="223"/>
      <c r="M33" s="223"/>
    </row>
    <row r="34" spans="1:13" ht="20">
      <c r="K34" s="223"/>
      <c r="L34" s="223"/>
      <c r="M34" s="223"/>
    </row>
    <row r="36" spans="1:13" ht="18">
      <c r="A36" s="224" t="s">
        <v>382</v>
      </c>
      <c r="B36" s="224"/>
      <c r="C36" s="224"/>
      <c r="D36" s="224"/>
    </row>
    <row r="74" spans="2:2">
      <c r="B74" s="212" t="str">
        <f>+E6</f>
        <v>Guayas</v>
      </c>
    </row>
  </sheetData>
  <mergeCells count="3">
    <mergeCell ref="A36:D36"/>
    <mergeCell ref="D4:J4"/>
    <mergeCell ref="D3:J3"/>
  </mergeCells>
  <hyperlinks>
    <hyperlink ref="L2" location="Indice!A1" display="ÍNDICE"/>
    <hyperlink ref="N4" location="Indice!A1" display="ÍNDICE"/>
  </hyperlinks>
  <pageMargins left="0.75" right="0.75" top="1" bottom="1" header="0.5" footer="0.5"/>
  <pageSetup paperSize="9" orientation="landscape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Listas!$C$6:$C$29</xm:f>
          </x14:formula1>
          <xm:sqref>E6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N41"/>
  <sheetViews>
    <sheetView workbookViewId="0">
      <selection activeCell="N3" sqref="N3"/>
    </sheetView>
  </sheetViews>
  <sheetFormatPr baseColWidth="10" defaultRowHeight="15" x14ac:dyDescent="0"/>
  <cols>
    <col min="1" max="16384" width="10.83203125" style="227"/>
  </cols>
  <sheetData>
    <row r="3" spans="14:14">
      <c r="N3" s="211" t="s">
        <v>393</v>
      </c>
    </row>
    <row r="41" spans="5:8" ht="18">
      <c r="E41" s="228" t="s">
        <v>382</v>
      </c>
      <c r="F41" s="228"/>
      <c r="G41" s="228"/>
      <c r="H41" s="228"/>
    </row>
  </sheetData>
  <mergeCells count="1">
    <mergeCell ref="E41:H41"/>
  </mergeCells>
  <hyperlinks>
    <hyperlink ref="N3" location="Indice!A1" display="ÍNDICE"/>
  </hyperlink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45"/>
  <sheetViews>
    <sheetView workbookViewId="0">
      <selection activeCell="O5" sqref="O5"/>
    </sheetView>
  </sheetViews>
  <sheetFormatPr baseColWidth="10" defaultRowHeight="15" x14ac:dyDescent="0"/>
  <cols>
    <col min="1" max="1" width="6.5" style="227" customWidth="1"/>
    <col min="2" max="2" width="25.1640625" style="227" customWidth="1"/>
    <col min="3" max="15" width="12.5" style="227" customWidth="1"/>
    <col min="16" max="16384" width="10.83203125" style="227"/>
  </cols>
  <sheetData>
    <row r="4" spans="1:15" ht="23">
      <c r="E4" s="229" t="s">
        <v>385</v>
      </c>
    </row>
    <row r="5" spans="1:15">
      <c r="O5" s="233" t="s">
        <v>393</v>
      </c>
    </row>
    <row r="8" spans="1:15" ht="75">
      <c r="A8" s="122"/>
      <c r="B8" s="115"/>
      <c r="C8" s="123" t="str">
        <f>+'Por provincia'!B8</f>
        <v>Desarrollo Integral de las personas</v>
      </c>
      <c r="D8" s="123" t="str">
        <f>+'Por provincia'!C8</f>
        <v>Desempeño Económico</v>
      </c>
      <c r="E8" s="123" t="str">
        <f>+'Por provincia'!D8</f>
        <v>Empleo</v>
      </c>
      <c r="F8" s="123" t="str">
        <f>+'Por provincia'!E8</f>
        <v>Gestión Empresarial</v>
      </c>
      <c r="G8" s="123" t="str">
        <f>+'Por provincia'!F8</f>
        <v>Gestión, Gobiernos e Instituciones</v>
      </c>
      <c r="H8" s="123" t="str">
        <f>+'Por provincia'!G8</f>
        <v>Infraestructura y Localización</v>
      </c>
      <c r="I8" s="123" t="str">
        <f>+'Por provincia'!H8</f>
        <v>Internacionalización y Apertura</v>
      </c>
      <c r="J8" s="123" t="str">
        <f>+'Por provincia'!I8</f>
        <v>Mercados financieros</v>
      </c>
      <c r="K8" s="123" t="str">
        <f>+'Por provincia'!J8</f>
        <v>Recursos Naturales y Ambiente</v>
      </c>
      <c r="L8" s="123" t="str">
        <f>+'Por provincia'!K8</f>
        <v>Seguridad Jurídica</v>
      </c>
      <c r="M8" s="123" t="str">
        <f>+'Por provincia'!L8</f>
        <v>Urbanización</v>
      </c>
      <c r="N8" s="123" t="str">
        <f>+'Por provincia'!M8</f>
        <v>Habilitantes de Innovación, Ciencia y Tecnología</v>
      </c>
      <c r="O8" s="123" t="str">
        <f>+'Por provincia'!N8</f>
        <v>Total general</v>
      </c>
    </row>
    <row r="9" spans="1:15" ht="20">
      <c r="A9" s="25">
        <v>1</v>
      </c>
      <c r="B9" s="230" t="s">
        <v>322</v>
      </c>
      <c r="C9" s="231">
        <f>+'Por provincia'!B10</f>
        <v>44.395274118828063</v>
      </c>
      <c r="D9" s="231">
        <f>+'Por provincia'!C10</f>
        <v>30.680023799963838</v>
      </c>
      <c r="E9" s="231">
        <f>+'Por provincia'!D10</f>
        <v>55.371254128129038</v>
      </c>
      <c r="F9" s="231">
        <f>+'Por provincia'!E10</f>
        <v>28.152546631116454</v>
      </c>
      <c r="G9" s="231">
        <f>+'Por provincia'!F10</f>
        <v>39.22074442093956</v>
      </c>
      <c r="H9" s="231">
        <f>+'Por provincia'!G10</f>
        <v>58.754764143501063</v>
      </c>
      <c r="I9" s="231">
        <f>+'Por provincia'!H10</f>
        <v>14.339373437911618</v>
      </c>
      <c r="J9" s="231">
        <f>+'Por provincia'!I10</f>
        <v>28.733454514443611</v>
      </c>
      <c r="K9" s="231">
        <f>+'Por provincia'!J10</f>
        <v>44.254618156664115</v>
      </c>
      <c r="L9" s="231">
        <f>+'Por provincia'!K10</f>
        <v>34.506151797559561</v>
      </c>
      <c r="M9" s="231">
        <f>+'Por provincia'!L10</f>
        <v>44.79233976783005</v>
      </c>
      <c r="N9" s="231">
        <f>+'Por provincia'!M10</f>
        <v>38.476080188794128</v>
      </c>
      <c r="O9" s="231">
        <f>+'Por provincia'!N10</f>
        <v>37.659020266427028</v>
      </c>
    </row>
    <row r="10" spans="1:15" ht="20">
      <c r="A10" s="25">
        <v>2</v>
      </c>
      <c r="B10" s="234" t="s">
        <v>23</v>
      </c>
      <c r="C10" s="232">
        <f>+VLOOKUP($B$10,'Ind. pilar y provincia'!$A$131:$N$155,2,FALSE)</f>
        <v>37.120239027259231</v>
      </c>
      <c r="D10" s="232">
        <f>+VLOOKUP($B$10,'Ind. pilar y provincia'!$A$131:$N$155,3,FALSE)</f>
        <v>19.0282919812215</v>
      </c>
      <c r="E10" s="232">
        <f>+VLOOKUP($B$10,'Ind. pilar y provincia'!$A$131:$N$155,4,FALSE)</f>
        <v>50.544617501190992</v>
      </c>
      <c r="F10" s="232">
        <f>+VLOOKUP($B$10,'Ind. pilar y provincia'!$A$131:$N$155,5,FALSE)</f>
        <v>24.86448833978141</v>
      </c>
      <c r="G10" s="232">
        <f>+VLOOKUP($B$10,'Ind. pilar y provincia'!$A$131:$N$155,6,FALSE)</f>
        <v>21.122436683727681</v>
      </c>
      <c r="H10" s="232">
        <f>+VLOOKUP($B$10,'Ind. pilar y provincia'!$A$131:$N$155,7,FALSE)</f>
        <v>61.802764809619589</v>
      </c>
      <c r="I10" s="232">
        <f>+VLOOKUP($B$10,'Ind. pilar y provincia'!$A$131:$N$155,8,FALSE)</f>
        <v>17.468238048778058</v>
      </c>
      <c r="J10" s="232">
        <f>+VLOOKUP($B$10,'Ind. pilar y provincia'!$A$131:$N$155,9,FALSE)</f>
        <v>28.737768046720692</v>
      </c>
      <c r="K10" s="232">
        <f>+VLOOKUP($B$10,'Ind. pilar y provincia'!$A$131:$N$155,10,FALSE)</f>
        <v>49.314301937270919</v>
      </c>
      <c r="L10" s="232">
        <f>+VLOOKUP($B$10,'Ind. pilar y provincia'!$A$131:$N$155,11,FALSE)</f>
        <v>10.000836479091461</v>
      </c>
      <c r="M10" s="232">
        <f>+VLOOKUP($B$10,'Ind. pilar y provincia'!$A$131:$N$155,12,FALSE)</f>
        <v>46.538154825038639</v>
      </c>
      <c r="N10" s="232">
        <f>+VLOOKUP($B$10,'Ind. pilar y provincia'!$A$131:$N$155,13,FALSE)</f>
        <v>24.856829692083213</v>
      </c>
      <c r="O10" s="232">
        <f>+VLOOKUP($B$10,'Ind. pilar y provincia'!$A$131:$N$155,14,FALSE)</f>
        <v>32.970579145267791</v>
      </c>
    </row>
    <row r="11" spans="1:15" ht="20">
      <c r="A11" s="25">
        <v>3</v>
      </c>
      <c r="B11" s="234" t="s">
        <v>30</v>
      </c>
      <c r="C11" s="232">
        <f>+VLOOKUP($B$11,'Ind. pilar y provincia'!$A$131:$N$155,2,FALSE)</f>
        <v>61.127621647540195</v>
      </c>
      <c r="D11" s="232">
        <f>+VLOOKUP($B$11,'Ind. pilar y provincia'!$A$131:$N$155,3,FALSE)</f>
        <v>39.368689373214707</v>
      </c>
      <c r="E11" s="232">
        <f>+VLOOKUP($B$11,'Ind. pilar y provincia'!$A$131:$N$155,4,FALSE)</f>
        <v>53.540284022661254</v>
      </c>
      <c r="F11" s="232">
        <f>+VLOOKUP($B$11,'Ind. pilar y provincia'!$A$131:$N$155,5,FALSE)</f>
        <v>41.679039738057519</v>
      </c>
      <c r="G11" s="232">
        <f>+VLOOKUP($B$11,'Ind. pilar y provincia'!$A$131:$N$155,6,FALSE)</f>
        <v>37.184862952778509</v>
      </c>
      <c r="H11" s="232">
        <f>+VLOOKUP($B$11,'Ind. pilar y provincia'!$A$131:$N$155,7,FALSE)</f>
        <v>69.645563665503232</v>
      </c>
      <c r="I11" s="232">
        <f>+VLOOKUP($B$11,'Ind. pilar y provincia'!$A$131:$N$155,8,FALSE)</f>
        <v>7.4656093449264995</v>
      </c>
      <c r="J11" s="232">
        <f>+VLOOKUP($B$11,'Ind. pilar y provincia'!$A$131:$N$155,9,FALSE)</f>
        <v>34.237076763558335</v>
      </c>
      <c r="K11" s="232">
        <f>+VLOOKUP($B$11,'Ind. pilar y provincia'!$A$131:$N$155,10,FALSE)</f>
        <v>43.541227854711167</v>
      </c>
      <c r="L11" s="232">
        <f>+VLOOKUP($B$11,'Ind. pilar y provincia'!$A$131:$N$155,11,FALSE)</f>
        <v>41.828880689378742</v>
      </c>
      <c r="M11" s="232">
        <f>+VLOOKUP($B$11,'Ind. pilar y provincia'!$A$131:$N$155,12,FALSE)</f>
        <v>59.122432365784626</v>
      </c>
      <c r="N11" s="232">
        <f>+VLOOKUP($B$11,'Ind. pilar y provincia'!$A$131:$N$155,13,FALSE)</f>
        <v>53.424441801785072</v>
      </c>
      <c r="O11" s="232">
        <f>+VLOOKUP($B$11,'Ind. pilar y provincia'!$A$131:$N$155,14,FALSE)</f>
        <v>44.329655743341036</v>
      </c>
    </row>
    <row r="45" spans="4:7" ht="18">
      <c r="D45" s="228" t="s">
        <v>382</v>
      </c>
      <c r="E45" s="228"/>
      <c r="F45" s="228"/>
      <c r="G45" s="228"/>
    </row>
  </sheetData>
  <mergeCells count="1">
    <mergeCell ref="D45:G45"/>
  </mergeCells>
  <hyperlinks>
    <hyperlink ref="O5" location="Indice!A1" display="ÍNDICE"/>
  </hyperlinks>
  <pageMargins left="0.75" right="0.75" top="1" bottom="1" header="0.5" footer="0.5"/>
  <pageSetup paperSize="9" orientation="landscape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Listas!$C$6:$C$29</xm:f>
          </x14:formula1>
          <xm:sqref>B10:B11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H58"/>
  <sheetViews>
    <sheetView workbookViewId="0">
      <selection activeCell="AJ75" sqref="AJ75"/>
    </sheetView>
  </sheetViews>
  <sheetFormatPr baseColWidth="10" defaultRowHeight="15" x14ac:dyDescent="0"/>
  <cols>
    <col min="1" max="1" width="41.6640625" bestFit="1" customWidth="1"/>
    <col min="2" max="6" width="12.1640625" customWidth="1"/>
    <col min="8" max="8" width="41.6640625" customWidth="1"/>
    <col min="9" max="9" width="12.1640625" bestFit="1" customWidth="1"/>
    <col min="10" max="13" width="12.1640625" customWidth="1"/>
    <col min="15" max="15" width="41.6640625" customWidth="1"/>
    <col min="16" max="16" width="12.1640625" bestFit="1" customWidth="1"/>
    <col min="17" max="20" width="12.1640625" customWidth="1"/>
    <col min="22" max="22" width="41.6640625" bestFit="1" customWidth="1"/>
    <col min="23" max="23" width="12.1640625" bestFit="1" customWidth="1"/>
    <col min="24" max="27" width="12.1640625" customWidth="1"/>
    <col min="29" max="29" width="41.6640625" customWidth="1"/>
    <col min="30" max="30" width="12.1640625" bestFit="1" customWidth="1"/>
    <col min="31" max="34" width="12.1640625" customWidth="1"/>
    <col min="36" max="36" width="41.6640625" customWidth="1"/>
    <col min="37" max="37" width="12.1640625" bestFit="1" customWidth="1"/>
    <col min="38" max="41" width="12.1640625" customWidth="1"/>
    <col min="43" max="43" width="41.6640625" customWidth="1"/>
    <col min="44" max="44" width="12.1640625" bestFit="1" customWidth="1"/>
    <col min="45" max="48" width="12.1640625" customWidth="1"/>
    <col min="50" max="50" width="41.6640625" customWidth="1"/>
    <col min="51" max="51" width="12.1640625" bestFit="1" customWidth="1"/>
    <col min="52" max="55" width="12.1640625" customWidth="1"/>
    <col min="57" max="57" width="41.6640625" customWidth="1"/>
    <col min="58" max="62" width="12.1640625" customWidth="1"/>
    <col min="64" max="64" width="41.6640625" customWidth="1"/>
    <col min="65" max="65" width="12.1640625" bestFit="1" customWidth="1"/>
    <col min="66" max="69" width="12.1640625" customWidth="1"/>
    <col min="71" max="71" width="41.6640625" customWidth="1"/>
    <col min="72" max="72" width="12.1640625" bestFit="1" customWidth="1"/>
    <col min="73" max="76" width="12.1640625" customWidth="1"/>
    <col min="78" max="78" width="41.6640625" customWidth="1"/>
    <col min="79" max="79" width="12.1640625" bestFit="1" customWidth="1"/>
    <col min="85" max="85" width="52.33203125" customWidth="1"/>
    <col min="86" max="86" width="12.1640625" bestFit="1" customWidth="1"/>
  </cols>
  <sheetData>
    <row r="2" spans="1:86">
      <c r="H2" t="s">
        <v>137</v>
      </c>
      <c r="O2" t="s">
        <v>163</v>
      </c>
      <c r="V2" t="s">
        <v>174</v>
      </c>
      <c r="AC2" t="s">
        <v>197</v>
      </c>
      <c r="AJ2" t="s">
        <v>223</v>
      </c>
      <c r="AQ2" t="s">
        <v>233</v>
      </c>
      <c r="AX2" t="s">
        <v>269</v>
      </c>
      <c r="BE2" t="s">
        <v>118</v>
      </c>
      <c r="BL2" t="s">
        <v>185</v>
      </c>
      <c r="BS2" t="s">
        <v>254</v>
      </c>
      <c r="BZ2" t="s">
        <v>260</v>
      </c>
      <c r="CG2" t="s">
        <v>344</v>
      </c>
    </row>
    <row r="3" spans="1:86">
      <c r="A3" s="1" t="s">
        <v>330</v>
      </c>
      <c r="H3" s="1" t="s">
        <v>329</v>
      </c>
      <c r="O3" s="1" t="s">
        <v>331</v>
      </c>
      <c r="V3" s="1" t="s">
        <v>340</v>
      </c>
      <c r="AC3" s="1" t="s">
        <v>332</v>
      </c>
      <c r="AJ3" s="1" t="s">
        <v>334</v>
      </c>
      <c r="AQ3" s="1" t="s">
        <v>333</v>
      </c>
      <c r="AX3" s="1" t="s">
        <v>335</v>
      </c>
      <c r="BE3" s="1" t="s">
        <v>336</v>
      </c>
      <c r="BL3" s="1" t="s">
        <v>337</v>
      </c>
      <c r="BS3" s="1" t="s">
        <v>339</v>
      </c>
      <c r="BZ3" s="1" t="s">
        <v>338</v>
      </c>
      <c r="CG3" s="1" t="s">
        <v>375</v>
      </c>
    </row>
    <row r="4" spans="1:86">
      <c r="A4" s="1" t="s">
        <v>316</v>
      </c>
      <c r="B4" t="s">
        <v>317</v>
      </c>
      <c r="H4" s="1" t="s">
        <v>316</v>
      </c>
      <c r="I4" t="s">
        <v>317</v>
      </c>
      <c r="O4" s="1" t="s">
        <v>316</v>
      </c>
      <c r="P4" t="s">
        <v>317</v>
      </c>
      <c r="V4" s="1" t="s">
        <v>316</v>
      </c>
      <c r="W4" t="s">
        <v>317</v>
      </c>
      <c r="AC4" s="1" t="s">
        <v>316</v>
      </c>
      <c r="AD4" t="s">
        <v>317</v>
      </c>
      <c r="AJ4" s="1" t="s">
        <v>316</v>
      </c>
      <c r="AK4" t="s">
        <v>317</v>
      </c>
      <c r="AQ4" s="1" t="s">
        <v>316</v>
      </c>
      <c r="AR4" t="s">
        <v>317</v>
      </c>
      <c r="AX4" s="1" t="s">
        <v>316</v>
      </c>
      <c r="AY4" t="s">
        <v>317</v>
      </c>
      <c r="BE4" s="1" t="s">
        <v>316</v>
      </c>
      <c r="BF4" t="s">
        <v>317</v>
      </c>
      <c r="BL4" s="1" t="s">
        <v>316</v>
      </c>
      <c r="BM4" t="s">
        <v>317</v>
      </c>
      <c r="BS4" s="1" t="s">
        <v>316</v>
      </c>
      <c r="BT4" t="s">
        <v>317</v>
      </c>
      <c r="BZ4" s="1" t="s">
        <v>316</v>
      </c>
      <c r="CA4" t="s">
        <v>317</v>
      </c>
      <c r="CG4" s="1" t="s">
        <v>316</v>
      </c>
      <c r="CH4" t="s">
        <v>317</v>
      </c>
    </row>
    <row r="5" spans="1:86">
      <c r="A5" s="2" t="s">
        <v>307</v>
      </c>
      <c r="B5" s="3">
        <v>72.606087506553791</v>
      </c>
      <c r="C5" s="3"/>
      <c r="D5" s="3"/>
      <c r="E5" s="3"/>
      <c r="F5" s="3"/>
      <c r="H5" s="2" t="s">
        <v>307</v>
      </c>
      <c r="I5" s="3">
        <v>79.713315598302742</v>
      </c>
      <c r="J5" s="3"/>
      <c r="K5" s="3"/>
      <c r="L5" s="3"/>
      <c r="M5" s="3"/>
      <c r="O5" s="2" t="s">
        <v>298</v>
      </c>
      <c r="P5" s="3">
        <v>89.853417899929582</v>
      </c>
      <c r="Q5" s="3"/>
      <c r="R5" s="3"/>
      <c r="S5" s="3"/>
      <c r="T5" s="3"/>
      <c r="V5" s="2" t="s">
        <v>307</v>
      </c>
      <c r="W5" s="3">
        <v>81.019166845981928</v>
      </c>
      <c r="X5" s="3"/>
      <c r="Y5" s="3"/>
      <c r="Z5" s="3"/>
      <c r="AA5" s="3"/>
      <c r="AC5" s="2" t="s">
        <v>307</v>
      </c>
      <c r="AD5" s="3">
        <v>81.071609676744174</v>
      </c>
      <c r="AE5" s="3"/>
      <c r="AF5" s="3"/>
      <c r="AG5" s="3"/>
      <c r="AH5" s="3"/>
      <c r="AJ5" s="2" t="s">
        <v>307</v>
      </c>
      <c r="AK5" s="3">
        <v>82.301898322812576</v>
      </c>
      <c r="AL5" s="3"/>
      <c r="AM5" s="3"/>
      <c r="AN5" s="3"/>
      <c r="AO5" s="3"/>
      <c r="AQ5" s="2" t="s">
        <v>307</v>
      </c>
      <c r="AR5" s="3">
        <v>78.97715440132761</v>
      </c>
      <c r="AS5" s="3"/>
      <c r="AT5" s="3"/>
      <c r="AU5" s="3"/>
      <c r="AV5" s="3"/>
      <c r="AX5" s="2" t="s">
        <v>307</v>
      </c>
      <c r="AY5" s="3">
        <v>87.620446096752417</v>
      </c>
      <c r="AZ5" s="3"/>
      <c r="BA5" s="3"/>
      <c r="BB5" s="3"/>
      <c r="BC5" s="3"/>
      <c r="BE5" s="2" t="s">
        <v>298</v>
      </c>
      <c r="BF5" s="3">
        <v>79.964392399555592</v>
      </c>
      <c r="BG5" s="3"/>
      <c r="BH5" s="3"/>
      <c r="BI5" s="3"/>
      <c r="BJ5" s="3"/>
      <c r="BL5" s="2" t="s">
        <v>298</v>
      </c>
      <c r="BM5" s="3">
        <v>74.029681925442702</v>
      </c>
      <c r="BN5" s="3"/>
      <c r="BO5" s="3"/>
      <c r="BP5" s="3"/>
      <c r="BQ5" s="3"/>
      <c r="BS5" s="2" t="s">
        <v>313</v>
      </c>
      <c r="BT5" s="3">
        <v>51.333589789961366</v>
      </c>
      <c r="BU5" s="3"/>
      <c r="BV5" s="3"/>
      <c r="BW5" s="3"/>
      <c r="BX5" s="3"/>
      <c r="BZ5" s="2" t="s">
        <v>298</v>
      </c>
      <c r="CA5" s="3">
        <v>78.740250317897036</v>
      </c>
      <c r="CG5" s="2" t="s">
        <v>307</v>
      </c>
      <c r="CH5" s="3">
        <v>68.453370687455973</v>
      </c>
    </row>
    <row r="6" spans="1:86">
      <c r="A6" s="2" t="s">
        <v>298</v>
      </c>
      <c r="B6" s="3">
        <v>54.752643578223434</v>
      </c>
      <c r="C6" s="3"/>
      <c r="D6" s="3"/>
      <c r="E6" s="3"/>
      <c r="F6" s="3"/>
      <c r="H6" s="2" t="s">
        <v>306</v>
      </c>
      <c r="I6" s="3">
        <v>55.142956952798293</v>
      </c>
      <c r="J6" s="3"/>
      <c r="K6" s="3"/>
      <c r="L6" s="3"/>
      <c r="M6" s="3"/>
      <c r="O6" s="2" t="s">
        <v>294</v>
      </c>
      <c r="P6" s="3">
        <v>78.001621523719052</v>
      </c>
      <c r="Q6" s="3"/>
      <c r="R6" s="3"/>
      <c r="S6" s="3"/>
      <c r="T6" s="3"/>
      <c r="V6" s="2" t="s">
        <v>299</v>
      </c>
      <c r="W6" s="3">
        <v>67.129352145025649</v>
      </c>
      <c r="X6" s="3"/>
      <c r="Y6" s="3"/>
      <c r="Z6" s="3"/>
      <c r="AA6" s="3"/>
      <c r="AC6" s="2" t="s">
        <v>290</v>
      </c>
      <c r="AD6" s="3">
        <v>75.82068883367036</v>
      </c>
      <c r="AE6" s="3"/>
      <c r="AF6" s="3"/>
      <c r="AG6" s="3"/>
      <c r="AH6" s="3"/>
      <c r="AJ6" s="2" t="s">
        <v>299</v>
      </c>
      <c r="AK6" s="3">
        <v>48.468861015080584</v>
      </c>
      <c r="AL6" s="3"/>
      <c r="AM6" s="3"/>
      <c r="AN6" s="3"/>
      <c r="AO6" s="3"/>
      <c r="AQ6" s="2" t="s">
        <v>299</v>
      </c>
      <c r="AR6" s="3">
        <v>58.982295857430486</v>
      </c>
      <c r="AS6" s="3"/>
      <c r="AT6" s="3"/>
      <c r="AU6" s="3"/>
      <c r="AV6" s="3"/>
      <c r="AX6" s="2" t="s">
        <v>299</v>
      </c>
      <c r="AY6" s="3">
        <v>67.785111808675751</v>
      </c>
      <c r="AZ6" s="3"/>
      <c r="BA6" s="3"/>
      <c r="BB6" s="3"/>
      <c r="BC6" s="3"/>
      <c r="BE6" s="2" t="s">
        <v>307</v>
      </c>
      <c r="BF6" s="3">
        <v>76.773191058661112</v>
      </c>
      <c r="BG6" s="3"/>
      <c r="BH6" s="3"/>
      <c r="BI6" s="3"/>
      <c r="BJ6" s="3"/>
      <c r="BL6" s="2" t="s">
        <v>307</v>
      </c>
      <c r="BM6" s="3">
        <v>63.622607841463342</v>
      </c>
      <c r="BN6" s="3"/>
      <c r="BO6" s="3"/>
      <c r="BP6" s="3"/>
      <c r="BQ6" s="3"/>
      <c r="BS6" s="2" t="s">
        <v>298</v>
      </c>
      <c r="BT6" s="3">
        <v>50</v>
      </c>
      <c r="BU6" s="3"/>
      <c r="BV6" s="3"/>
      <c r="BW6" s="3"/>
      <c r="BX6" s="3"/>
      <c r="BZ6" s="2" t="s">
        <v>312</v>
      </c>
      <c r="CA6" s="3">
        <v>58.690096321824583</v>
      </c>
      <c r="CG6" s="2" t="s">
        <v>298</v>
      </c>
      <c r="CH6" s="3">
        <v>68.291430792095767</v>
      </c>
    </row>
    <row r="7" spans="1:86">
      <c r="A7" s="2" t="s">
        <v>299</v>
      </c>
      <c r="B7" s="3">
        <v>47.833540790853192</v>
      </c>
      <c r="C7" s="3"/>
      <c r="D7" s="3"/>
      <c r="E7" s="3"/>
      <c r="F7" s="3"/>
      <c r="H7" s="2" t="s">
        <v>298</v>
      </c>
      <c r="I7" s="3">
        <v>47.547021686748124</v>
      </c>
      <c r="J7" s="3"/>
      <c r="K7" s="3"/>
      <c r="L7" s="3"/>
      <c r="M7" s="3"/>
      <c r="O7" s="2" t="s">
        <v>290</v>
      </c>
      <c r="P7" s="3">
        <v>76.41402986100718</v>
      </c>
      <c r="Q7" s="3"/>
      <c r="R7" s="3"/>
      <c r="S7" s="3"/>
      <c r="T7" s="3"/>
      <c r="V7" s="2" t="s">
        <v>298</v>
      </c>
      <c r="W7" s="3">
        <v>47.256519181103876</v>
      </c>
      <c r="X7" s="3"/>
      <c r="Y7" s="3"/>
      <c r="Z7" s="3"/>
      <c r="AA7" s="3"/>
      <c r="AC7" s="2" t="s">
        <v>299</v>
      </c>
      <c r="AD7" s="3">
        <v>72.937120904801702</v>
      </c>
      <c r="AE7" s="3"/>
      <c r="AF7" s="3"/>
      <c r="AG7" s="3"/>
      <c r="AH7" s="3"/>
      <c r="AJ7" s="2" t="s">
        <v>298</v>
      </c>
      <c r="AK7" s="3">
        <v>34.588247225839929</v>
      </c>
      <c r="AL7" s="3"/>
      <c r="AM7" s="3"/>
      <c r="AN7" s="3"/>
      <c r="AO7" s="3"/>
      <c r="AQ7" s="2" t="s">
        <v>290</v>
      </c>
      <c r="AR7" s="3">
        <v>40.827968000960567</v>
      </c>
      <c r="AS7" s="3"/>
      <c r="AT7" s="3"/>
      <c r="AU7" s="3"/>
      <c r="AV7" s="3"/>
      <c r="AX7" s="2" t="s">
        <v>298</v>
      </c>
      <c r="AY7" s="3">
        <v>64.849247259041078</v>
      </c>
      <c r="AZ7" s="3"/>
      <c r="BA7" s="3"/>
      <c r="BB7" s="3"/>
      <c r="BC7" s="3"/>
      <c r="BE7" s="2" t="s">
        <v>310</v>
      </c>
      <c r="BF7" s="3">
        <v>61.127621647540195</v>
      </c>
      <c r="BG7" s="3"/>
      <c r="BH7" s="3"/>
      <c r="BI7" s="3"/>
      <c r="BJ7" s="3"/>
      <c r="BL7" s="2" t="s">
        <v>306</v>
      </c>
      <c r="BM7" s="3">
        <v>54.664802899120524</v>
      </c>
      <c r="BN7" s="3"/>
      <c r="BO7" s="3"/>
      <c r="BP7" s="3"/>
      <c r="BQ7" s="3"/>
      <c r="BS7" s="2" t="s">
        <v>308</v>
      </c>
      <c r="BT7" s="3">
        <v>49.637398478331349</v>
      </c>
      <c r="BU7" s="3"/>
      <c r="BV7" s="3"/>
      <c r="BW7" s="3"/>
      <c r="BX7" s="3"/>
      <c r="BZ7" s="2" t="s">
        <v>292</v>
      </c>
      <c r="CA7" s="3">
        <v>55.239272929908687</v>
      </c>
      <c r="CG7" s="2" t="s">
        <v>300</v>
      </c>
      <c r="CH7" s="3">
        <v>66.898228095033318</v>
      </c>
    </row>
    <row r="8" spans="1:86">
      <c r="A8" s="2" t="s">
        <v>290</v>
      </c>
      <c r="B8" s="3">
        <v>47.750362781198334</v>
      </c>
      <c r="C8" s="3"/>
      <c r="D8" s="3"/>
      <c r="E8" s="3"/>
      <c r="F8" s="3"/>
      <c r="H8" s="2" t="s">
        <v>290</v>
      </c>
      <c r="I8" s="3">
        <v>43.441651067617762</v>
      </c>
      <c r="J8" s="3"/>
      <c r="K8" s="3"/>
      <c r="L8" s="3"/>
      <c r="M8" s="3"/>
      <c r="O8" s="2" t="s">
        <v>313</v>
      </c>
      <c r="P8" s="3">
        <v>72.134573202243431</v>
      </c>
      <c r="Q8" s="3"/>
      <c r="R8" s="3"/>
      <c r="S8" s="3"/>
      <c r="T8" s="3"/>
      <c r="V8" s="2" t="s">
        <v>290</v>
      </c>
      <c r="W8" s="3">
        <v>45.39235203231614</v>
      </c>
      <c r="X8" s="3"/>
      <c r="Y8" s="3"/>
      <c r="Z8" s="3"/>
      <c r="AA8" s="3"/>
      <c r="AC8" s="2" t="s">
        <v>292</v>
      </c>
      <c r="AD8" s="3">
        <v>72.57768417448392</v>
      </c>
      <c r="AE8" s="3"/>
      <c r="AF8" s="3"/>
      <c r="AG8" s="3"/>
      <c r="AH8" s="3"/>
      <c r="AJ8" s="2" t="s">
        <v>295</v>
      </c>
      <c r="AK8" s="3">
        <v>27.985914035271627</v>
      </c>
      <c r="AL8" s="3"/>
      <c r="AM8" s="3"/>
      <c r="AN8" s="3"/>
      <c r="AO8" s="3"/>
      <c r="AQ8" s="2" t="s">
        <v>298</v>
      </c>
      <c r="AR8" s="3">
        <v>39.478535605991659</v>
      </c>
      <c r="AS8" s="3"/>
      <c r="AT8" s="3"/>
      <c r="AU8" s="3"/>
      <c r="AV8" s="3"/>
      <c r="AX8" s="2" t="s">
        <v>290</v>
      </c>
      <c r="AY8" s="3">
        <v>59.374328697385472</v>
      </c>
      <c r="AZ8" s="3"/>
      <c r="BA8" s="3"/>
      <c r="BB8" s="3"/>
      <c r="BC8" s="3"/>
      <c r="BE8" s="2" t="s">
        <v>300</v>
      </c>
      <c r="BF8" s="3">
        <v>61.060482317960719</v>
      </c>
      <c r="BG8" s="3"/>
      <c r="BH8" s="3"/>
      <c r="BI8" s="3"/>
      <c r="BJ8" s="3"/>
      <c r="BL8" s="2" t="s">
        <v>304</v>
      </c>
      <c r="BM8" s="3">
        <v>54.198383458697762</v>
      </c>
      <c r="BN8" s="3"/>
      <c r="BO8" s="3"/>
      <c r="BP8" s="3"/>
      <c r="BQ8" s="3"/>
      <c r="BS8" s="2" t="s">
        <v>303</v>
      </c>
      <c r="BT8" s="3">
        <v>49.314301937270919</v>
      </c>
      <c r="BU8" s="3"/>
      <c r="BV8" s="3"/>
      <c r="BW8" s="3"/>
      <c r="BX8" s="3"/>
      <c r="BZ8" s="2" t="s">
        <v>304</v>
      </c>
      <c r="CA8" s="3">
        <v>50.546380078405107</v>
      </c>
      <c r="CG8" s="2" t="s">
        <v>301</v>
      </c>
      <c r="CH8" s="3">
        <v>66.425814998907455</v>
      </c>
    </row>
    <row r="9" spans="1:86">
      <c r="A9" s="2" t="s">
        <v>310</v>
      </c>
      <c r="B9" s="3">
        <v>44.329655743341036</v>
      </c>
      <c r="C9" s="3"/>
      <c r="D9" s="3"/>
      <c r="E9" s="3"/>
      <c r="F9" s="3"/>
      <c r="H9" s="2" t="s">
        <v>299</v>
      </c>
      <c r="I9" s="3">
        <v>42.019014291409171</v>
      </c>
      <c r="J9" s="3"/>
      <c r="K9" s="3"/>
      <c r="L9" s="3"/>
      <c r="M9" s="3"/>
      <c r="O9" s="2" t="s">
        <v>304</v>
      </c>
      <c r="P9" s="3">
        <v>68.7910406701927</v>
      </c>
      <c r="Q9" s="3"/>
      <c r="R9" s="3"/>
      <c r="S9" s="3"/>
      <c r="T9" s="3"/>
      <c r="V9" s="2" t="s">
        <v>310</v>
      </c>
      <c r="W9" s="3">
        <v>41.679039738057519</v>
      </c>
      <c r="X9" s="3"/>
      <c r="Y9" s="3"/>
      <c r="Z9" s="3"/>
      <c r="AA9" s="3"/>
      <c r="AC9" s="2" t="s">
        <v>296</v>
      </c>
      <c r="AD9" s="3">
        <v>70.893353773522435</v>
      </c>
      <c r="AE9" s="3"/>
      <c r="AF9" s="3"/>
      <c r="AG9" s="3"/>
      <c r="AH9" s="3"/>
      <c r="AJ9" s="2" t="s">
        <v>296</v>
      </c>
      <c r="AK9" s="3">
        <v>25.696342709304538</v>
      </c>
      <c r="AL9" s="3"/>
      <c r="AM9" s="3"/>
      <c r="AN9" s="3"/>
      <c r="AO9" s="3"/>
      <c r="AQ9" s="2" t="s">
        <v>300</v>
      </c>
      <c r="AR9" s="3">
        <v>36.215753539402016</v>
      </c>
      <c r="AS9" s="3"/>
      <c r="AT9" s="3"/>
      <c r="AU9" s="3"/>
      <c r="AV9" s="3"/>
      <c r="AX9" s="2" t="s">
        <v>296</v>
      </c>
      <c r="AY9" s="3">
        <v>59.210009520353957</v>
      </c>
      <c r="AZ9" s="3"/>
      <c r="BA9" s="3"/>
      <c r="BB9" s="3"/>
      <c r="BC9" s="3"/>
      <c r="BE9" s="2" t="s">
        <v>296</v>
      </c>
      <c r="BF9" s="3">
        <v>58.551913583832807</v>
      </c>
      <c r="BG9" s="3"/>
      <c r="BH9" s="3"/>
      <c r="BI9" s="3"/>
      <c r="BJ9" s="3"/>
      <c r="BL9" s="2" t="s">
        <v>300</v>
      </c>
      <c r="BM9" s="3">
        <v>52.930207951140041</v>
      </c>
      <c r="BN9" s="3"/>
      <c r="BO9" s="3"/>
      <c r="BP9" s="3"/>
      <c r="BQ9" s="3"/>
      <c r="BS9" s="2" t="s">
        <v>305</v>
      </c>
      <c r="BT9" s="3">
        <v>48.978773587953803</v>
      </c>
      <c r="BU9" s="3"/>
      <c r="BV9" s="3"/>
      <c r="BW9" s="3"/>
      <c r="BX9" s="3"/>
      <c r="BZ9" s="2" t="s">
        <v>293</v>
      </c>
      <c r="CA9" s="3">
        <v>48.538502722160324</v>
      </c>
      <c r="CG9" s="2" t="s">
        <v>294</v>
      </c>
      <c r="CH9" s="3">
        <v>62.342505754102497</v>
      </c>
    </row>
    <row r="10" spans="1:86">
      <c r="A10" s="2" t="s">
        <v>296</v>
      </c>
      <c r="B10" s="3">
        <v>43.687953619820881</v>
      </c>
      <c r="C10" s="3"/>
      <c r="D10" s="3"/>
      <c r="E10" s="3"/>
      <c r="F10" s="3"/>
      <c r="H10" s="2" t="s">
        <v>310</v>
      </c>
      <c r="I10" s="3">
        <v>39.368689373214707</v>
      </c>
      <c r="J10" s="3"/>
      <c r="K10" s="3"/>
      <c r="L10" s="3"/>
      <c r="M10" s="3"/>
      <c r="O10" s="2" t="s">
        <v>291</v>
      </c>
      <c r="P10" s="3">
        <v>67.76218973104065</v>
      </c>
      <c r="Q10" s="3"/>
      <c r="R10" s="3"/>
      <c r="S10" s="3"/>
      <c r="T10" s="3"/>
      <c r="V10" s="2" t="s">
        <v>296</v>
      </c>
      <c r="W10" s="3">
        <v>32.718826236183872</v>
      </c>
      <c r="X10" s="3"/>
      <c r="Y10" s="3"/>
      <c r="Z10" s="3"/>
      <c r="AA10" s="3"/>
      <c r="AC10" s="2" t="s">
        <v>300</v>
      </c>
      <c r="AD10" s="3">
        <v>70.035601866878295</v>
      </c>
      <c r="AE10" s="3"/>
      <c r="AF10" s="3"/>
      <c r="AG10" s="3"/>
      <c r="AH10" s="3"/>
      <c r="AJ10" s="2" t="s">
        <v>300</v>
      </c>
      <c r="AK10" s="3">
        <v>19.227205647001888</v>
      </c>
      <c r="AL10" s="3"/>
      <c r="AM10" s="3"/>
      <c r="AN10" s="3"/>
      <c r="AO10" s="3"/>
      <c r="AQ10" s="2" t="s">
        <v>310</v>
      </c>
      <c r="AR10" s="3">
        <v>34.237076763558335</v>
      </c>
      <c r="AS10" s="3"/>
      <c r="AT10" s="3"/>
      <c r="AU10" s="3"/>
      <c r="AV10" s="3"/>
      <c r="AX10" s="2" t="s">
        <v>310</v>
      </c>
      <c r="AY10" s="3">
        <v>59.122432365784626</v>
      </c>
      <c r="AZ10" s="3"/>
      <c r="BA10" s="3"/>
      <c r="BB10" s="3"/>
      <c r="BC10" s="3"/>
      <c r="BE10" s="2" t="s">
        <v>290</v>
      </c>
      <c r="BF10" s="3">
        <v>55.434288884426287</v>
      </c>
      <c r="BG10" s="3"/>
      <c r="BH10" s="3"/>
      <c r="BI10" s="3"/>
      <c r="BJ10" s="3"/>
      <c r="BL10" s="2" t="s">
        <v>296</v>
      </c>
      <c r="BM10" s="3">
        <v>47.679285583442862</v>
      </c>
      <c r="BN10" s="3"/>
      <c r="BO10" s="3"/>
      <c r="BP10" s="3"/>
      <c r="BQ10" s="3"/>
      <c r="BS10" s="2" t="s">
        <v>297</v>
      </c>
      <c r="BT10" s="3">
        <v>48.715997682336351</v>
      </c>
      <c r="BU10" s="3"/>
      <c r="BV10" s="3"/>
      <c r="BW10" s="3"/>
      <c r="BX10" s="3"/>
      <c r="BZ10" s="2" t="s">
        <v>300</v>
      </c>
      <c r="CA10" s="3">
        <v>45.373492792027356</v>
      </c>
      <c r="CG10" s="2" t="s">
        <v>310</v>
      </c>
      <c r="CH10" s="3">
        <v>53.424441801785072</v>
      </c>
    </row>
    <row r="11" spans="1:86">
      <c r="A11" s="2" t="s">
        <v>300</v>
      </c>
      <c r="B11" s="3">
        <v>43.470465525633784</v>
      </c>
      <c r="C11" s="3"/>
      <c r="D11" s="3"/>
      <c r="E11" s="3"/>
      <c r="F11" s="3"/>
      <c r="H11" s="2" t="s">
        <v>294</v>
      </c>
      <c r="I11" s="3">
        <v>37.944543791389293</v>
      </c>
      <c r="J11" s="3"/>
      <c r="K11" s="3"/>
      <c r="L11" s="3"/>
      <c r="M11" s="3"/>
      <c r="O11" s="2" t="s">
        <v>295</v>
      </c>
      <c r="P11" s="3">
        <v>66.730110560407539</v>
      </c>
      <c r="Q11" s="3"/>
      <c r="R11" s="3"/>
      <c r="S11" s="3"/>
      <c r="T11" s="3"/>
      <c r="V11" s="2" t="s">
        <v>313</v>
      </c>
      <c r="W11" s="3">
        <v>30.757113894813561</v>
      </c>
      <c r="X11" s="3"/>
      <c r="Y11" s="3"/>
      <c r="Z11" s="3"/>
      <c r="AA11" s="3"/>
      <c r="AC11" s="2" t="s">
        <v>310</v>
      </c>
      <c r="AD11" s="3">
        <v>69.645563665503232</v>
      </c>
      <c r="AE11" s="3"/>
      <c r="AF11" s="3"/>
      <c r="AG11" s="3"/>
      <c r="AH11" s="3"/>
      <c r="AJ11" s="2" t="s">
        <v>303</v>
      </c>
      <c r="AK11" s="3">
        <v>17.468238048778058</v>
      </c>
      <c r="AL11" s="3"/>
      <c r="AM11" s="3"/>
      <c r="AN11" s="3"/>
      <c r="AO11" s="3"/>
      <c r="AQ11" s="2" t="s">
        <v>312</v>
      </c>
      <c r="AR11" s="3">
        <v>32.337785247655731</v>
      </c>
      <c r="AS11" s="3"/>
      <c r="AT11" s="3"/>
      <c r="AU11" s="3"/>
      <c r="AV11" s="3"/>
      <c r="AX11" s="2" t="s">
        <v>300</v>
      </c>
      <c r="AY11" s="3">
        <v>51.50562543229583</v>
      </c>
      <c r="AZ11" s="3"/>
      <c r="BA11" s="3"/>
      <c r="BB11" s="3"/>
      <c r="BC11" s="3"/>
      <c r="BE11" s="2" t="s">
        <v>301</v>
      </c>
      <c r="BF11" s="3">
        <v>51.917747831003183</v>
      </c>
      <c r="BG11" s="3"/>
      <c r="BH11" s="3"/>
      <c r="BI11" s="3"/>
      <c r="BJ11" s="3"/>
      <c r="BL11" s="2" t="s">
        <v>311</v>
      </c>
      <c r="BM11" s="3">
        <v>47.06226039825669</v>
      </c>
      <c r="BN11" s="3"/>
      <c r="BO11" s="3"/>
      <c r="BP11" s="3"/>
      <c r="BQ11" s="3"/>
      <c r="BS11" s="2" t="s">
        <v>306</v>
      </c>
      <c r="BT11" s="3">
        <v>48.524455421574508</v>
      </c>
      <c r="BU11" s="3"/>
      <c r="BV11" s="3"/>
      <c r="BW11" s="3"/>
      <c r="BX11" s="3"/>
      <c r="BZ11" s="2" t="s">
        <v>306</v>
      </c>
      <c r="CA11" s="3">
        <v>43.102225250239115</v>
      </c>
      <c r="CG11" s="2" t="s">
        <v>290</v>
      </c>
      <c r="CH11" s="3">
        <v>53.278712508208059</v>
      </c>
    </row>
    <row r="12" spans="1:86">
      <c r="A12" s="2" t="s">
        <v>294</v>
      </c>
      <c r="B12" s="3">
        <v>39.196682697318202</v>
      </c>
      <c r="C12" s="3"/>
      <c r="D12" s="3"/>
      <c r="E12" s="3"/>
      <c r="F12" s="3"/>
      <c r="H12" s="2" t="s">
        <v>312</v>
      </c>
      <c r="I12" s="3">
        <v>36.218328108745787</v>
      </c>
      <c r="J12" s="3"/>
      <c r="K12" s="3"/>
      <c r="L12" s="3"/>
      <c r="M12" s="3"/>
      <c r="O12" s="2" t="s">
        <v>308</v>
      </c>
      <c r="P12" s="3">
        <v>66.291825928653367</v>
      </c>
      <c r="Q12" s="3"/>
      <c r="R12" s="3"/>
      <c r="S12" s="3"/>
      <c r="T12" s="3"/>
      <c r="V12" s="2" t="s">
        <v>309</v>
      </c>
      <c r="W12" s="3">
        <v>30.228009447273173</v>
      </c>
      <c r="X12" s="3"/>
      <c r="Y12" s="3"/>
      <c r="Z12" s="3"/>
      <c r="AA12" s="3"/>
      <c r="AC12" s="2" t="s">
        <v>313</v>
      </c>
      <c r="AD12" s="3">
        <v>69.152632190589912</v>
      </c>
      <c r="AE12" s="3"/>
      <c r="AF12" s="3"/>
      <c r="AG12" s="3"/>
      <c r="AH12" s="3"/>
      <c r="AJ12" s="2" t="s">
        <v>302</v>
      </c>
      <c r="AK12" s="3">
        <v>13.657342699191002</v>
      </c>
      <c r="AL12" s="3"/>
      <c r="AM12" s="3"/>
      <c r="AN12" s="3"/>
      <c r="AO12" s="3"/>
      <c r="AQ12" s="2" t="s">
        <v>296</v>
      </c>
      <c r="AR12" s="3">
        <v>31.574120599908483</v>
      </c>
      <c r="AS12" s="3"/>
      <c r="AT12" s="3"/>
      <c r="AU12" s="3"/>
      <c r="AV12" s="3"/>
      <c r="AX12" s="2" t="s">
        <v>302</v>
      </c>
      <c r="AY12" s="3">
        <v>49.502485111248056</v>
      </c>
      <c r="AZ12" s="3"/>
      <c r="BA12" s="3"/>
      <c r="BB12" s="3"/>
      <c r="BC12" s="3"/>
      <c r="BE12" s="2" t="s">
        <v>292</v>
      </c>
      <c r="BF12" s="3">
        <v>47.99667793666368</v>
      </c>
      <c r="BG12" s="3"/>
      <c r="BH12" s="3"/>
      <c r="BI12" s="3"/>
      <c r="BJ12" s="3"/>
      <c r="BL12" s="2" t="s">
        <v>312</v>
      </c>
      <c r="BM12" s="3">
        <v>44.61295658052579</v>
      </c>
      <c r="BN12" s="3"/>
      <c r="BO12" s="3"/>
      <c r="BP12" s="3"/>
      <c r="BQ12" s="3"/>
      <c r="BS12" s="2" t="s">
        <v>311</v>
      </c>
      <c r="BT12" s="3">
        <v>48.396901501347713</v>
      </c>
      <c r="BU12" s="3"/>
      <c r="BV12" s="3"/>
      <c r="BW12" s="3"/>
      <c r="BX12" s="3"/>
      <c r="BZ12" s="2" t="s">
        <v>310</v>
      </c>
      <c r="CA12" s="3">
        <v>41.828880689378742</v>
      </c>
      <c r="CG12" s="2" t="s">
        <v>308</v>
      </c>
      <c r="CH12" s="3">
        <v>50.442985348992707</v>
      </c>
    </row>
    <row r="13" spans="1:86">
      <c r="A13" s="2" t="s">
        <v>313</v>
      </c>
      <c r="B13" s="3">
        <v>37.517905217539962</v>
      </c>
      <c r="C13" s="3"/>
      <c r="D13" s="3"/>
      <c r="E13" s="3"/>
      <c r="F13" s="3"/>
      <c r="H13" s="2" t="s">
        <v>300</v>
      </c>
      <c r="I13" s="3">
        <v>33.874953162107523</v>
      </c>
      <c r="J13" s="3"/>
      <c r="K13" s="3"/>
      <c r="L13" s="3"/>
      <c r="M13" s="3"/>
      <c r="O13" s="2" t="s">
        <v>296</v>
      </c>
      <c r="P13" s="3">
        <v>59.466182843310222</v>
      </c>
      <c r="Q13" s="3"/>
      <c r="R13" s="3"/>
      <c r="S13" s="3"/>
      <c r="T13" s="3"/>
      <c r="V13" s="2" t="s">
        <v>306</v>
      </c>
      <c r="W13" s="3">
        <v>28.96793209774501</v>
      </c>
      <c r="X13" s="3"/>
      <c r="Y13" s="3"/>
      <c r="Z13" s="3"/>
      <c r="AA13" s="3"/>
      <c r="AC13" s="2" t="s">
        <v>293</v>
      </c>
      <c r="AD13" s="3">
        <v>69.115480625006995</v>
      </c>
      <c r="AE13" s="3"/>
      <c r="AF13" s="3"/>
      <c r="AG13" s="3"/>
      <c r="AH13" s="3"/>
      <c r="AJ13" s="2" t="s">
        <v>313</v>
      </c>
      <c r="AK13" s="3">
        <v>13.515419114088415</v>
      </c>
      <c r="AL13" s="3"/>
      <c r="AM13" s="3"/>
      <c r="AN13" s="3"/>
      <c r="AO13" s="3"/>
      <c r="AQ13" s="2" t="s">
        <v>313</v>
      </c>
      <c r="AR13" s="3">
        <v>30.468269993574669</v>
      </c>
      <c r="AS13" s="3"/>
      <c r="AT13" s="3"/>
      <c r="AU13" s="3"/>
      <c r="AV13" s="3"/>
      <c r="AX13" s="2" t="s">
        <v>313</v>
      </c>
      <c r="AY13" s="3">
        <v>47.224922189559273</v>
      </c>
      <c r="AZ13" s="3"/>
      <c r="BA13" s="3"/>
      <c r="BB13" s="3"/>
      <c r="BC13" s="3"/>
      <c r="BE13" s="2" t="s">
        <v>294</v>
      </c>
      <c r="BF13" s="3">
        <v>45.838133721114446</v>
      </c>
      <c r="BG13" s="3"/>
      <c r="BH13" s="3"/>
      <c r="BI13" s="3"/>
      <c r="BJ13" s="3"/>
      <c r="BL13" s="2" t="s">
        <v>305</v>
      </c>
      <c r="BM13" s="3">
        <v>42.494807102339834</v>
      </c>
      <c r="BN13" s="3"/>
      <c r="BO13" s="3"/>
      <c r="BP13" s="3"/>
      <c r="BQ13" s="3"/>
      <c r="BS13" s="2" t="s">
        <v>291</v>
      </c>
      <c r="BT13" s="3">
        <v>48.34038082608707</v>
      </c>
      <c r="BU13" s="3"/>
      <c r="BV13" s="3"/>
      <c r="BW13" s="3"/>
      <c r="BX13" s="3"/>
      <c r="BZ13" s="2" t="s">
        <v>311</v>
      </c>
      <c r="CA13" s="3">
        <v>40.504035007032002</v>
      </c>
      <c r="CG13" s="2" t="s">
        <v>292</v>
      </c>
      <c r="CH13" s="3">
        <v>47.879215920654516</v>
      </c>
    </row>
    <row r="14" spans="1:86">
      <c r="A14" s="2" t="s">
        <v>292</v>
      </c>
      <c r="B14" s="3">
        <v>37.035914498494733</v>
      </c>
      <c r="C14" s="3"/>
      <c r="D14" s="3"/>
      <c r="E14" s="3"/>
      <c r="F14" s="3"/>
      <c r="H14" s="2" t="s">
        <v>296</v>
      </c>
      <c r="I14" s="3">
        <v>33.373468683659411</v>
      </c>
      <c r="J14" s="3"/>
      <c r="K14" s="3"/>
      <c r="L14" s="3"/>
      <c r="M14" s="3"/>
      <c r="O14" s="2" t="s">
        <v>306</v>
      </c>
      <c r="P14" s="3">
        <v>56.90917388057315</v>
      </c>
      <c r="Q14" s="3"/>
      <c r="R14" s="3"/>
      <c r="S14" s="3"/>
      <c r="T14" s="3"/>
      <c r="V14" s="2" t="s">
        <v>300</v>
      </c>
      <c r="W14" s="3">
        <v>25.490606838547297</v>
      </c>
      <c r="X14" s="3"/>
      <c r="Y14" s="3"/>
      <c r="Z14" s="3"/>
      <c r="AA14" s="3"/>
      <c r="AC14" s="2" t="s">
        <v>291</v>
      </c>
      <c r="AD14" s="3">
        <v>68.520252219071125</v>
      </c>
      <c r="AE14" s="3"/>
      <c r="AF14" s="3"/>
      <c r="AG14" s="3"/>
      <c r="AH14" s="3"/>
      <c r="AJ14" s="2" t="s">
        <v>293</v>
      </c>
      <c r="AK14" s="3">
        <v>10.523743121815599</v>
      </c>
      <c r="AL14" s="3"/>
      <c r="AM14" s="3"/>
      <c r="AN14" s="3"/>
      <c r="AO14" s="3"/>
      <c r="AQ14" s="2" t="s">
        <v>303</v>
      </c>
      <c r="AR14" s="3">
        <v>28.737768046720692</v>
      </c>
      <c r="AS14" s="3"/>
      <c r="AT14" s="3"/>
      <c r="AU14" s="3"/>
      <c r="AV14" s="3"/>
      <c r="AX14" s="2" t="s">
        <v>303</v>
      </c>
      <c r="AY14" s="3">
        <v>46.538154825038639</v>
      </c>
      <c r="AZ14" s="3"/>
      <c r="BA14" s="3"/>
      <c r="BB14" s="3"/>
      <c r="BC14" s="3"/>
      <c r="BE14" s="2" t="s">
        <v>308</v>
      </c>
      <c r="BF14" s="3">
        <v>43.965655057298569</v>
      </c>
      <c r="BG14" s="3"/>
      <c r="BH14" s="3"/>
      <c r="BI14" s="3"/>
      <c r="BJ14" s="3"/>
      <c r="BL14" s="2" t="s">
        <v>292</v>
      </c>
      <c r="BM14" s="3">
        <v>42.124271033701874</v>
      </c>
      <c r="BN14" s="3"/>
      <c r="BO14" s="3"/>
      <c r="BP14" s="3"/>
      <c r="BQ14" s="3"/>
      <c r="BS14" s="23" t="s">
        <v>302</v>
      </c>
      <c r="BT14" s="24">
        <v>47.560975609756106</v>
      </c>
      <c r="BU14" s="3"/>
      <c r="BV14" s="3"/>
      <c r="BW14" s="3"/>
      <c r="BX14" s="3"/>
      <c r="BZ14" s="2" t="s">
        <v>308</v>
      </c>
      <c r="CA14" s="3">
        <v>39.997969817535733</v>
      </c>
      <c r="CG14" s="2" t="s">
        <v>291</v>
      </c>
      <c r="CH14" s="3">
        <v>47.084417795590042</v>
      </c>
    </row>
    <row r="15" spans="1:86">
      <c r="A15" s="2" t="s">
        <v>312</v>
      </c>
      <c r="B15" s="3">
        <v>36.91048104487264</v>
      </c>
      <c r="C15" s="3"/>
      <c r="D15" s="3"/>
      <c r="E15" s="3"/>
      <c r="F15" s="3"/>
      <c r="H15" s="2" t="s">
        <v>302</v>
      </c>
      <c r="I15" s="3">
        <v>31.952208020044747</v>
      </c>
      <c r="J15" s="3"/>
      <c r="K15" s="3"/>
      <c r="L15" s="3"/>
      <c r="M15" s="3"/>
      <c r="O15" s="2" t="s">
        <v>310</v>
      </c>
      <c r="P15" s="3">
        <v>53.540284022661254</v>
      </c>
      <c r="Q15" s="3"/>
      <c r="R15" s="3"/>
      <c r="S15" s="3"/>
      <c r="T15" s="3"/>
      <c r="V15" s="2" t="s">
        <v>303</v>
      </c>
      <c r="W15" s="3">
        <v>24.86448833978141</v>
      </c>
      <c r="X15" s="3"/>
      <c r="Y15" s="3"/>
      <c r="Z15" s="3"/>
      <c r="AA15" s="3"/>
      <c r="AC15" s="2" t="s">
        <v>294</v>
      </c>
      <c r="AD15" s="3">
        <v>64.50152349703842</v>
      </c>
      <c r="AE15" s="3"/>
      <c r="AF15" s="3"/>
      <c r="AG15" s="3"/>
      <c r="AH15" s="3"/>
      <c r="AJ15" s="2" t="s">
        <v>297</v>
      </c>
      <c r="AK15" s="3">
        <v>10.190280142922131</v>
      </c>
      <c r="AL15" s="3"/>
      <c r="AM15" s="3"/>
      <c r="AN15" s="3"/>
      <c r="AO15" s="3"/>
      <c r="AQ15" s="2" t="s">
        <v>295</v>
      </c>
      <c r="AR15" s="3">
        <v>27.086035466728347</v>
      </c>
      <c r="AS15" s="3"/>
      <c r="AT15" s="3"/>
      <c r="AU15" s="3"/>
      <c r="AV15" s="3"/>
      <c r="AX15" s="2" t="s">
        <v>293</v>
      </c>
      <c r="AY15" s="3">
        <v>44.328406783331502</v>
      </c>
      <c r="AZ15" s="3"/>
      <c r="BA15" s="3"/>
      <c r="BB15" s="3"/>
      <c r="BC15" s="3"/>
      <c r="BE15" s="2" t="s">
        <v>311</v>
      </c>
      <c r="BF15" s="3">
        <v>43.102987031858511</v>
      </c>
      <c r="BG15" s="3"/>
      <c r="BH15" s="3"/>
      <c r="BI15" s="3"/>
      <c r="BJ15" s="3"/>
      <c r="BL15" s="2" t="s">
        <v>290</v>
      </c>
      <c r="BM15" s="3">
        <v>41.712380330867838</v>
      </c>
      <c r="BN15" s="3"/>
      <c r="BO15" s="3"/>
      <c r="BP15" s="3"/>
      <c r="BQ15" s="3"/>
      <c r="BS15" s="2" t="s">
        <v>304</v>
      </c>
      <c r="BT15" s="3">
        <v>46.453532386813187</v>
      </c>
      <c r="BU15" s="3"/>
      <c r="BV15" s="3"/>
      <c r="BW15" s="3"/>
      <c r="BX15" s="3"/>
      <c r="BZ15" s="2" t="s">
        <v>296</v>
      </c>
      <c r="CA15" s="3">
        <v>39.902236181301127</v>
      </c>
      <c r="CG15" s="2" t="s">
        <v>293</v>
      </c>
      <c r="CH15" s="3">
        <v>41.555451267933165</v>
      </c>
    </row>
    <row r="16" spans="1:86">
      <c r="A16" s="2" t="s">
        <v>306</v>
      </c>
      <c r="B16" s="3">
        <v>34.92436491844007</v>
      </c>
      <c r="C16" s="3"/>
      <c r="D16" s="3"/>
      <c r="E16" s="3"/>
      <c r="F16" s="3"/>
      <c r="H16" s="2" t="s">
        <v>292</v>
      </c>
      <c r="I16" s="3">
        <v>31.60417617878689</v>
      </c>
      <c r="J16" s="3"/>
      <c r="K16" s="3"/>
      <c r="L16" s="3"/>
      <c r="M16" s="3"/>
      <c r="O16" s="2" t="s">
        <v>292</v>
      </c>
      <c r="P16" s="3">
        <v>53.061494826993737</v>
      </c>
      <c r="Q16" s="3"/>
      <c r="R16" s="3"/>
      <c r="S16" s="3"/>
      <c r="T16" s="3"/>
      <c r="V16" s="2" t="s">
        <v>301</v>
      </c>
      <c r="W16" s="3">
        <v>23.178255664999831</v>
      </c>
      <c r="X16" s="3"/>
      <c r="Y16" s="3"/>
      <c r="Z16" s="3"/>
      <c r="AA16" s="3"/>
      <c r="AC16" s="2" t="s">
        <v>303</v>
      </c>
      <c r="AD16" s="3">
        <v>61.802764809619589</v>
      </c>
      <c r="AE16" s="3"/>
      <c r="AF16" s="3"/>
      <c r="AG16" s="3"/>
      <c r="AH16" s="3"/>
      <c r="AJ16" s="2" t="s">
        <v>290</v>
      </c>
      <c r="AK16" s="3">
        <v>8.8146405922075974</v>
      </c>
      <c r="AL16" s="3"/>
      <c r="AM16" s="3"/>
      <c r="AN16" s="3"/>
      <c r="AO16" s="3"/>
      <c r="AQ16" s="2" t="s">
        <v>291</v>
      </c>
      <c r="AR16" s="3">
        <v>22.660080781362709</v>
      </c>
      <c r="AS16" s="3"/>
      <c r="AT16" s="3"/>
      <c r="AU16" s="3"/>
      <c r="AV16" s="3"/>
      <c r="AX16" s="2" t="s">
        <v>292</v>
      </c>
      <c r="AY16" s="3">
        <v>42.961573900316516</v>
      </c>
      <c r="AZ16" s="3"/>
      <c r="BA16" s="3"/>
      <c r="BB16" s="3"/>
      <c r="BC16" s="3"/>
      <c r="BE16" s="2" t="s">
        <v>312</v>
      </c>
      <c r="BF16" s="3">
        <v>42.957353435136831</v>
      </c>
      <c r="BG16" s="3"/>
      <c r="BH16" s="3"/>
      <c r="BI16" s="3"/>
      <c r="BJ16" s="3"/>
      <c r="BL16" s="2" t="s">
        <v>294</v>
      </c>
      <c r="BM16" s="3">
        <v>39.265736116927734</v>
      </c>
      <c r="BN16" s="3"/>
      <c r="BO16" s="3"/>
      <c r="BP16" s="3"/>
      <c r="BQ16" s="3"/>
      <c r="BS16" s="2" t="s">
        <v>299</v>
      </c>
      <c r="BT16" s="3">
        <v>45.870857135991358</v>
      </c>
      <c r="BU16" s="3"/>
      <c r="BV16" s="3"/>
      <c r="BW16" s="3"/>
      <c r="BX16" s="3"/>
      <c r="BZ16" s="23" t="s">
        <v>302</v>
      </c>
      <c r="CA16" s="24">
        <v>38.538321374367811</v>
      </c>
      <c r="CG16" s="2" t="s">
        <v>311</v>
      </c>
      <c r="CH16" s="3">
        <v>33.433390860097987</v>
      </c>
    </row>
    <row r="17" spans="1:86">
      <c r="A17" s="2" t="s">
        <v>295</v>
      </c>
      <c r="B17" s="3">
        <v>33.535411479801716</v>
      </c>
      <c r="C17" s="3"/>
      <c r="D17" s="3"/>
      <c r="E17" s="3"/>
      <c r="F17" s="3"/>
      <c r="H17" s="2" t="s">
        <v>309</v>
      </c>
      <c r="I17" s="3">
        <v>31.336607626209496</v>
      </c>
      <c r="J17" s="3"/>
      <c r="K17" s="3"/>
      <c r="L17" s="3"/>
      <c r="M17" s="3"/>
      <c r="O17" s="2" t="s">
        <v>307</v>
      </c>
      <c r="P17" s="3">
        <v>52.116710647134788</v>
      </c>
      <c r="Q17" s="3"/>
      <c r="R17" s="3"/>
      <c r="S17" s="3"/>
      <c r="T17" s="3"/>
      <c r="V17" s="2" t="s">
        <v>295</v>
      </c>
      <c r="W17" s="3">
        <v>23.130795732182285</v>
      </c>
      <c r="X17" s="3"/>
      <c r="Y17" s="3"/>
      <c r="Z17" s="3"/>
      <c r="AA17" s="3"/>
      <c r="AC17" s="2" t="s">
        <v>301</v>
      </c>
      <c r="AD17" s="3">
        <v>60.977044891808504</v>
      </c>
      <c r="AE17" s="3"/>
      <c r="AF17" s="3"/>
      <c r="AG17" s="3"/>
      <c r="AH17" s="3"/>
      <c r="AJ17" s="2" t="s">
        <v>312</v>
      </c>
      <c r="AK17" s="3">
        <v>8.8144343799153848</v>
      </c>
      <c r="AL17" s="3"/>
      <c r="AM17" s="3"/>
      <c r="AN17" s="3"/>
      <c r="AO17" s="3"/>
      <c r="AQ17" s="2" t="s">
        <v>302</v>
      </c>
      <c r="AR17" s="3">
        <v>22.647380652831458</v>
      </c>
      <c r="AS17" s="3"/>
      <c r="AT17" s="3"/>
      <c r="AU17" s="3"/>
      <c r="AV17" s="3"/>
      <c r="AX17" s="2" t="s">
        <v>312</v>
      </c>
      <c r="AY17" s="3">
        <v>41.385632463826795</v>
      </c>
      <c r="AZ17" s="3"/>
      <c r="BA17" s="3"/>
      <c r="BB17" s="3"/>
      <c r="BC17" s="3"/>
      <c r="BE17" s="2" t="s">
        <v>302</v>
      </c>
      <c r="BF17" s="3">
        <v>40.471535582048411</v>
      </c>
      <c r="BG17" s="3"/>
      <c r="BH17" s="3"/>
      <c r="BI17" s="3"/>
      <c r="BJ17" s="3"/>
      <c r="BL17" s="2" t="s">
        <v>308</v>
      </c>
      <c r="BM17" s="3">
        <v>38.246963807877812</v>
      </c>
      <c r="BN17" s="3"/>
      <c r="BO17" s="3"/>
      <c r="BP17" s="3"/>
      <c r="BQ17" s="3"/>
      <c r="BS17" s="2" t="s">
        <v>309</v>
      </c>
      <c r="BT17" s="3">
        <v>44.846090712618221</v>
      </c>
      <c r="BU17" s="3"/>
      <c r="BV17" s="3"/>
      <c r="BW17" s="3"/>
      <c r="BX17" s="3"/>
      <c r="BZ17" s="2" t="s">
        <v>294</v>
      </c>
      <c r="CA17" s="3">
        <v>37.052583144122679</v>
      </c>
      <c r="CG17" s="2" t="s">
        <v>295</v>
      </c>
      <c r="CH17" s="3">
        <v>32.806599334436498</v>
      </c>
    </row>
    <row r="18" spans="1:86">
      <c r="A18" s="2" t="s">
        <v>302</v>
      </c>
      <c r="B18" s="3">
        <v>33.245641445502997</v>
      </c>
      <c r="C18" s="3"/>
      <c r="D18" s="3"/>
      <c r="E18" s="3"/>
      <c r="F18" s="3"/>
      <c r="H18" s="2" t="s">
        <v>313</v>
      </c>
      <c r="I18" s="3">
        <v>22.919239862557557</v>
      </c>
      <c r="J18" s="3"/>
      <c r="K18" s="3"/>
      <c r="L18" s="3"/>
      <c r="M18" s="3"/>
      <c r="O18" s="2" t="s">
        <v>311</v>
      </c>
      <c r="P18" s="3">
        <v>51.225804293993818</v>
      </c>
      <c r="Q18" s="3"/>
      <c r="R18" s="3"/>
      <c r="S18" s="3"/>
      <c r="T18" s="3"/>
      <c r="V18" s="2" t="s">
        <v>297</v>
      </c>
      <c r="W18" s="3">
        <v>22.94850132267791</v>
      </c>
      <c r="X18" s="3"/>
      <c r="Y18" s="3"/>
      <c r="Z18" s="3"/>
      <c r="AA18" s="3"/>
      <c r="AC18" s="2" t="s">
        <v>312</v>
      </c>
      <c r="AD18" s="3">
        <v>60.752919907547295</v>
      </c>
      <c r="AE18" s="3"/>
      <c r="AF18" s="3"/>
      <c r="AG18" s="3"/>
      <c r="AH18" s="3"/>
      <c r="AJ18" s="2" t="s">
        <v>310</v>
      </c>
      <c r="AK18" s="3">
        <v>7.4656093449264995</v>
      </c>
      <c r="AL18" s="3"/>
      <c r="AM18" s="3"/>
      <c r="AN18" s="3"/>
      <c r="AO18" s="3"/>
      <c r="AQ18" s="2" t="s">
        <v>294</v>
      </c>
      <c r="AR18" s="3">
        <v>21.753220918093671</v>
      </c>
      <c r="AS18" s="3"/>
      <c r="AT18" s="3"/>
      <c r="AU18" s="3"/>
      <c r="AV18" s="3"/>
      <c r="AX18" s="2" t="s">
        <v>297</v>
      </c>
      <c r="AY18" s="3">
        <v>38.985044325261768</v>
      </c>
      <c r="AZ18" s="3"/>
      <c r="BA18" s="3"/>
      <c r="BB18" s="3"/>
      <c r="BC18" s="3"/>
      <c r="BE18" s="2" t="s">
        <v>306</v>
      </c>
      <c r="BF18" s="3">
        <v>40.223611462571299</v>
      </c>
      <c r="BG18" s="3"/>
      <c r="BH18" s="3"/>
      <c r="BI18" s="3"/>
      <c r="BJ18" s="3"/>
      <c r="BL18" s="2" t="s">
        <v>310</v>
      </c>
      <c r="BM18" s="3">
        <v>37.184862952778509</v>
      </c>
      <c r="BN18" s="3"/>
      <c r="BO18" s="3"/>
      <c r="BP18" s="3"/>
      <c r="BQ18" s="3"/>
      <c r="BS18" s="2" t="s">
        <v>310</v>
      </c>
      <c r="BT18" s="3">
        <v>43.541227854711167</v>
      </c>
      <c r="BU18" s="3"/>
      <c r="BV18" s="3"/>
      <c r="BW18" s="3"/>
      <c r="BX18" s="3"/>
      <c r="BZ18" s="2" t="s">
        <v>307</v>
      </c>
      <c r="CA18" s="3">
        <v>34.958992205532411</v>
      </c>
      <c r="CG18" s="2" t="s">
        <v>299</v>
      </c>
      <c r="CH18" s="3">
        <v>32.450079127539574</v>
      </c>
    </row>
    <row r="19" spans="1:86">
      <c r="A19" s="2" t="s">
        <v>303</v>
      </c>
      <c r="B19" s="3">
        <v>32.970579145267791</v>
      </c>
      <c r="C19" s="3"/>
      <c r="D19" s="3"/>
      <c r="E19" s="3"/>
      <c r="F19" s="3"/>
      <c r="H19" s="2" t="s">
        <v>308</v>
      </c>
      <c r="I19" s="3">
        <v>22.036400969299923</v>
      </c>
      <c r="J19" s="3"/>
      <c r="K19" s="3"/>
      <c r="L19" s="3"/>
      <c r="M19" s="3"/>
      <c r="O19" s="2" t="s">
        <v>303</v>
      </c>
      <c r="P19" s="3">
        <v>50.544617501190992</v>
      </c>
      <c r="Q19" s="3"/>
      <c r="R19" s="3"/>
      <c r="S19" s="3"/>
      <c r="T19" s="3"/>
      <c r="V19" s="2" t="s">
        <v>312</v>
      </c>
      <c r="W19" s="3">
        <v>22.878012383459886</v>
      </c>
      <c r="X19" s="3"/>
      <c r="Y19" s="3"/>
      <c r="Z19" s="3"/>
      <c r="AA19" s="3"/>
      <c r="AC19" s="2" t="s">
        <v>302</v>
      </c>
      <c r="AD19" s="3">
        <v>57.036263076967685</v>
      </c>
      <c r="AE19" s="3"/>
      <c r="AF19" s="3"/>
      <c r="AG19" s="3"/>
      <c r="AH19" s="3"/>
      <c r="AJ19" s="2" t="s">
        <v>305</v>
      </c>
      <c r="AK19" s="3">
        <v>3.8301203656502691</v>
      </c>
      <c r="AL19" s="3"/>
      <c r="AM19" s="3"/>
      <c r="AN19" s="3"/>
      <c r="AO19" s="3"/>
      <c r="AQ19" s="2" t="s">
        <v>292</v>
      </c>
      <c r="AR19" s="3">
        <v>21.211828446529225</v>
      </c>
      <c r="AS19" s="3"/>
      <c r="AT19" s="3"/>
      <c r="AU19" s="3"/>
      <c r="AV19" s="3"/>
      <c r="AX19" s="2" t="s">
        <v>305</v>
      </c>
      <c r="AY19" s="3">
        <v>38.461139620731529</v>
      </c>
      <c r="AZ19" s="3"/>
      <c r="BA19" s="3"/>
      <c r="BB19" s="3"/>
      <c r="BC19" s="3"/>
      <c r="BE19" s="2" t="s">
        <v>303</v>
      </c>
      <c r="BF19" s="3">
        <v>37.120239027259231</v>
      </c>
      <c r="BG19" s="3"/>
      <c r="BH19" s="3"/>
      <c r="BI19" s="3"/>
      <c r="BJ19" s="3"/>
      <c r="BL19" s="2" t="s">
        <v>299</v>
      </c>
      <c r="BM19" s="3">
        <v>32.590112305645057</v>
      </c>
      <c r="BN19" s="3"/>
      <c r="BO19" s="3"/>
      <c r="BP19" s="3"/>
      <c r="BQ19" s="3"/>
      <c r="BS19" s="2" t="s">
        <v>307</v>
      </c>
      <c r="BT19" s="3">
        <v>42.959669561547855</v>
      </c>
      <c r="BU19" s="3"/>
      <c r="BV19" s="3"/>
      <c r="BW19" s="3"/>
      <c r="BX19" s="3"/>
      <c r="BZ19" s="2" t="s">
        <v>305</v>
      </c>
      <c r="CA19" s="3">
        <v>28.925593958837499</v>
      </c>
      <c r="CG19" s="2" t="s">
        <v>296</v>
      </c>
      <c r="CH19" s="3">
        <v>28.402203560057021</v>
      </c>
    </row>
    <row r="20" spans="1:86">
      <c r="A20" s="2" t="s">
        <v>293</v>
      </c>
      <c r="B20" s="3">
        <v>32.836503438944057</v>
      </c>
      <c r="C20" s="3"/>
      <c r="D20" s="3"/>
      <c r="E20" s="3"/>
      <c r="F20" s="3"/>
      <c r="H20" s="2" t="s">
        <v>304</v>
      </c>
      <c r="I20" s="3">
        <v>21.137930110404461</v>
      </c>
      <c r="J20" s="3"/>
      <c r="K20" s="3"/>
      <c r="L20" s="3"/>
      <c r="M20" s="3"/>
      <c r="O20" s="2" t="s">
        <v>293</v>
      </c>
      <c r="P20" s="3">
        <v>48.039440287868018</v>
      </c>
      <c r="Q20" s="3"/>
      <c r="R20" s="3"/>
      <c r="S20" s="3"/>
      <c r="T20" s="3"/>
      <c r="V20" s="2" t="s">
        <v>294</v>
      </c>
      <c r="W20" s="3">
        <v>21.358314866380166</v>
      </c>
      <c r="X20" s="3"/>
      <c r="Y20" s="3"/>
      <c r="Z20" s="3"/>
      <c r="AA20" s="3"/>
      <c r="AC20" s="2" t="s">
        <v>295</v>
      </c>
      <c r="AD20" s="3">
        <v>53.418521852718634</v>
      </c>
      <c r="AE20" s="3"/>
      <c r="AF20" s="3"/>
      <c r="AG20" s="3"/>
      <c r="AH20" s="3"/>
      <c r="AJ20" s="2" t="s">
        <v>292</v>
      </c>
      <c r="AK20" s="3">
        <v>3.1141087396037648</v>
      </c>
      <c r="AL20" s="3"/>
      <c r="AM20" s="3"/>
      <c r="AN20" s="3"/>
      <c r="AO20" s="3"/>
      <c r="AQ20" s="2" t="s">
        <v>308</v>
      </c>
      <c r="AR20" s="3">
        <v>21.144117119493924</v>
      </c>
      <c r="AS20" s="3"/>
      <c r="AT20" s="3"/>
      <c r="AU20" s="3"/>
      <c r="AV20" s="3"/>
      <c r="AX20" s="2" t="s">
        <v>295</v>
      </c>
      <c r="AY20" s="3">
        <v>38.218470724354745</v>
      </c>
      <c r="AZ20" s="3"/>
      <c r="BA20" s="3"/>
      <c r="BB20" s="3"/>
      <c r="BC20" s="3"/>
      <c r="BE20" s="2" t="s">
        <v>304</v>
      </c>
      <c r="BF20" s="3">
        <v>36.471901139980915</v>
      </c>
      <c r="BG20" s="3"/>
      <c r="BH20" s="3"/>
      <c r="BI20" s="3"/>
      <c r="BJ20" s="3"/>
      <c r="BL20" s="2" t="s">
        <v>309</v>
      </c>
      <c r="BM20" s="3">
        <v>31.662392199583806</v>
      </c>
      <c r="BN20" s="3"/>
      <c r="BO20" s="3"/>
      <c r="BP20" s="3"/>
      <c r="BQ20" s="3"/>
      <c r="BS20" s="2" t="s">
        <v>312</v>
      </c>
      <c r="BT20" s="3">
        <v>42.653623895217486</v>
      </c>
      <c r="BU20" s="3"/>
      <c r="BV20" s="3"/>
      <c r="BW20" s="3"/>
      <c r="BX20" s="3"/>
      <c r="BZ20" s="2" t="s">
        <v>291</v>
      </c>
      <c r="CA20" s="3">
        <v>28.042750124673237</v>
      </c>
      <c r="CG20" s="2" t="s">
        <v>313</v>
      </c>
      <c r="CH20" s="3">
        <v>28.096174138035718</v>
      </c>
    </row>
    <row r="21" spans="1:86">
      <c r="A21" s="2" t="s">
        <v>308</v>
      </c>
      <c r="B21" s="3">
        <v>32.283747587922981</v>
      </c>
      <c r="C21" s="3"/>
      <c r="D21" s="3"/>
      <c r="E21" s="3"/>
      <c r="F21" s="3"/>
      <c r="H21" s="2" t="s">
        <v>295</v>
      </c>
      <c r="I21" s="3">
        <v>20.678046491906287</v>
      </c>
      <c r="J21" s="3"/>
      <c r="K21" s="3"/>
      <c r="L21" s="3"/>
      <c r="M21" s="3"/>
      <c r="O21" s="2" t="s">
        <v>300</v>
      </c>
      <c r="P21" s="3">
        <v>47.057393937763777</v>
      </c>
      <c r="Q21" s="3"/>
      <c r="R21" s="3"/>
      <c r="S21" s="3"/>
      <c r="T21" s="3"/>
      <c r="V21" s="2" t="s">
        <v>302</v>
      </c>
      <c r="W21" s="3">
        <v>20.953204116658611</v>
      </c>
      <c r="X21" s="3"/>
      <c r="Y21" s="3"/>
      <c r="Z21" s="3"/>
      <c r="AA21" s="3"/>
      <c r="AC21" s="2" t="s">
        <v>297</v>
      </c>
      <c r="AD21" s="3">
        <v>52.402139878535955</v>
      </c>
      <c r="AE21" s="3"/>
      <c r="AF21" s="3"/>
      <c r="AG21" s="3"/>
      <c r="AH21" s="3"/>
      <c r="AJ21" s="2" t="s">
        <v>291</v>
      </c>
      <c r="AK21" s="3">
        <v>2.8835177536475167</v>
      </c>
      <c r="AL21" s="3"/>
      <c r="AM21" s="3"/>
      <c r="AN21" s="3"/>
      <c r="AO21" s="3"/>
      <c r="AQ21" s="2" t="s">
        <v>293</v>
      </c>
      <c r="AR21" s="3">
        <v>20.209009355427533</v>
      </c>
      <c r="AS21" s="3"/>
      <c r="AT21" s="3"/>
      <c r="AU21" s="3"/>
      <c r="AV21" s="3"/>
      <c r="AX21" s="2" t="s">
        <v>301</v>
      </c>
      <c r="AY21" s="3">
        <v>36.835522653354914</v>
      </c>
      <c r="AZ21" s="3"/>
      <c r="BA21" s="3"/>
      <c r="BB21" s="3"/>
      <c r="BC21" s="3"/>
      <c r="BE21" s="2" t="s">
        <v>297</v>
      </c>
      <c r="BF21" s="3">
        <v>35.449770046105137</v>
      </c>
      <c r="BG21" s="3"/>
      <c r="BH21" s="3"/>
      <c r="BI21" s="3"/>
      <c r="BJ21" s="3"/>
      <c r="BL21" s="2" t="s">
        <v>293</v>
      </c>
      <c r="BM21" s="3">
        <v>30.969163589978894</v>
      </c>
      <c r="BN21" s="3"/>
      <c r="BO21" s="3"/>
      <c r="BP21" s="3"/>
      <c r="BQ21" s="3"/>
      <c r="BS21" s="2" t="s">
        <v>300</v>
      </c>
      <c r="BT21" s="3">
        <v>42.457665346413563</v>
      </c>
      <c r="BU21" s="3"/>
      <c r="BV21" s="3"/>
      <c r="BW21" s="3"/>
      <c r="BX21" s="3"/>
      <c r="BZ21" s="2" t="s">
        <v>290</v>
      </c>
      <c r="CA21" s="3">
        <v>24.187850384777683</v>
      </c>
      <c r="CG21" s="2" t="s">
        <v>305</v>
      </c>
      <c r="CH21" s="3">
        <v>27.560086466229233</v>
      </c>
    </row>
    <row r="22" spans="1:86">
      <c r="A22" s="2" t="s">
        <v>301</v>
      </c>
      <c r="B22" s="3">
        <v>31.277639438007913</v>
      </c>
      <c r="C22" s="3"/>
      <c r="D22" s="3"/>
      <c r="E22" s="3"/>
      <c r="F22" s="3"/>
      <c r="H22" s="2" t="s">
        <v>301</v>
      </c>
      <c r="I22" s="3">
        <v>20.138577731280769</v>
      </c>
      <c r="J22" s="3"/>
      <c r="K22" s="3"/>
      <c r="L22" s="3"/>
      <c r="M22" s="3"/>
      <c r="O22" s="2" t="s">
        <v>312</v>
      </c>
      <c r="P22" s="3">
        <v>46.530658609027512</v>
      </c>
      <c r="Q22" s="3"/>
      <c r="R22" s="3"/>
      <c r="S22" s="3"/>
      <c r="T22" s="3"/>
      <c r="V22" s="2" t="s">
        <v>293</v>
      </c>
      <c r="W22" s="3">
        <v>16.508315152899154</v>
      </c>
      <c r="X22" s="3"/>
      <c r="Y22" s="3"/>
      <c r="Z22" s="3"/>
      <c r="AA22" s="3"/>
      <c r="AC22" s="2" t="s">
        <v>308</v>
      </c>
      <c r="AD22" s="3">
        <v>45.182755115161413</v>
      </c>
      <c r="AE22" s="3"/>
      <c r="AF22" s="3"/>
      <c r="AG22" s="3"/>
      <c r="AH22" s="3"/>
      <c r="AJ22" s="2" t="s">
        <v>294</v>
      </c>
      <c r="AK22" s="3">
        <v>2.5351655229673349</v>
      </c>
      <c r="AL22" s="3"/>
      <c r="AM22" s="3"/>
      <c r="AN22" s="3"/>
      <c r="AO22" s="3"/>
      <c r="AQ22" s="2" t="s">
        <v>306</v>
      </c>
      <c r="AR22" s="3">
        <v>20.116634877435551</v>
      </c>
      <c r="AS22" s="3"/>
      <c r="AT22" s="3"/>
      <c r="AU22" s="3"/>
      <c r="AV22" s="3"/>
      <c r="AX22" s="2" t="s">
        <v>294</v>
      </c>
      <c r="AY22" s="3">
        <v>34.425971277742477</v>
      </c>
      <c r="AZ22" s="3"/>
      <c r="BA22" s="3"/>
      <c r="BB22" s="3"/>
      <c r="BC22" s="3"/>
      <c r="BE22" s="2" t="s">
        <v>291</v>
      </c>
      <c r="BF22" s="3">
        <v>34.38189172447467</v>
      </c>
      <c r="BG22" s="3"/>
      <c r="BH22" s="3"/>
      <c r="BI22" s="3"/>
      <c r="BJ22" s="3"/>
      <c r="BL22" s="2" t="s">
        <v>313</v>
      </c>
      <c r="BM22" s="3">
        <v>29.454344105000935</v>
      </c>
      <c r="BN22" s="3"/>
      <c r="BO22" s="3"/>
      <c r="BP22" s="3"/>
      <c r="BQ22" s="3"/>
      <c r="BS22" s="2" t="s">
        <v>293</v>
      </c>
      <c r="BT22" s="3">
        <v>41.02729930869571</v>
      </c>
      <c r="BU22" s="3"/>
      <c r="BV22" s="3"/>
      <c r="BW22" s="3"/>
      <c r="BX22" s="3"/>
      <c r="BZ22" s="2" t="s">
        <v>309</v>
      </c>
      <c r="CA22" s="3">
        <v>21.482916757676225</v>
      </c>
      <c r="CG22" s="2" t="s">
        <v>303</v>
      </c>
      <c r="CH22" s="3">
        <v>24.856829692083213</v>
      </c>
    </row>
    <row r="23" spans="1:86">
      <c r="A23" s="2" t="s">
        <v>291</v>
      </c>
      <c r="B23" s="3">
        <v>29.717243833219836</v>
      </c>
      <c r="C23" s="3"/>
      <c r="D23" s="3"/>
      <c r="E23" s="3"/>
      <c r="F23" s="3"/>
      <c r="H23" s="2" t="s">
        <v>297</v>
      </c>
      <c r="I23" s="3">
        <v>20.039651156458525</v>
      </c>
      <c r="J23" s="3"/>
      <c r="K23" s="3"/>
      <c r="L23" s="3"/>
      <c r="M23" s="3"/>
      <c r="O23" s="2" t="s">
        <v>305</v>
      </c>
      <c r="P23" s="3">
        <v>46.328498411071408</v>
      </c>
      <c r="Q23" s="3"/>
      <c r="R23" s="3"/>
      <c r="S23" s="3"/>
      <c r="T23" s="3"/>
      <c r="V23" s="2" t="s">
        <v>308</v>
      </c>
      <c r="W23" s="3">
        <v>15.065458459918075</v>
      </c>
      <c r="X23" s="3"/>
      <c r="Y23" s="3"/>
      <c r="Z23" s="3"/>
      <c r="AA23" s="3"/>
      <c r="AC23" s="2" t="s">
        <v>305</v>
      </c>
      <c r="AD23" s="3">
        <v>45.092046531236313</v>
      </c>
      <c r="AE23" s="3"/>
      <c r="AF23" s="3"/>
      <c r="AG23" s="3"/>
      <c r="AH23" s="3"/>
      <c r="AJ23" s="2" t="s">
        <v>308</v>
      </c>
      <c r="AK23" s="3">
        <v>1.3552522661752147</v>
      </c>
      <c r="AL23" s="3"/>
      <c r="AM23" s="3"/>
      <c r="AN23" s="3"/>
      <c r="AO23" s="3"/>
      <c r="AQ23" s="2" t="s">
        <v>301</v>
      </c>
      <c r="AR23" s="3">
        <v>19.596099345560066</v>
      </c>
      <c r="AS23" s="3"/>
      <c r="AT23" s="3"/>
      <c r="AU23" s="3"/>
      <c r="AV23" s="3"/>
      <c r="AX23" s="2" t="s">
        <v>291</v>
      </c>
      <c r="AY23" s="3">
        <v>32.901394509232354</v>
      </c>
      <c r="AZ23" s="3"/>
      <c r="BA23" s="3"/>
      <c r="BB23" s="3"/>
      <c r="BC23" s="3"/>
      <c r="BE23" s="2" t="s">
        <v>313</v>
      </c>
      <c r="BF23" s="3">
        <v>34.08846794997045</v>
      </c>
      <c r="BG23" s="3"/>
      <c r="BH23" s="3"/>
      <c r="BI23" s="3"/>
      <c r="BJ23" s="3"/>
      <c r="BL23" s="2" t="s">
        <v>302</v>
      </c>
      <c r="BM23" s="3">
        <v>29.25511159734895</v>
      </c>
      <c r="BN23" s="3"/>
      <c r="BO23" s="3"/>
      <c r="BP23" s="3"/>
      <c r="BQ23" s="3"/>
      <c r="BS23" s="2" t="s">
        <v>294</v>
      </c>
      <c r="BT23" s="3">
        <v>40.44942862404671</v>
      </c>
      <c r="BU23" s="3"/>
      <c r="BV23" s="3"/>
      <c r="BW23" s="3"/>
      <c r="BX23" s="3"/>
      <c r="BZ23" s="2" t="s">
        <v>301</v>
      </c>
      <c r="CA23" s="3">
        <v>19.848526100904159</v>
      </c>
      <c r="CG23" s="23" t="s">
        <v>302</v>
      </c>
      <c r="CH23" s="24">
        <v>23.265695665793974</v>
      </c>
    </row>
    <row r="24" spans="1:86">
      <c r="A24" s="2" t="s">
        <v>304</v>
      </c>
      <c r="B24" s="3">
        <v>29.533706627347545</v>
      </c>
      <c r="C24" s="3"/>
      <c r="D24" s="3"/>
      <c r="E24" s="3"/>
      <c r="F24" s="3"/>
      <c r="H24" s="2" t="s">
        <v>303</v>
      </c>
      <c r="I24" s="3">
        <v>19.0282919812215</v>
      </c>
      <c r="J24" s="3"/>
      <c r="K24" s="3"/>
      <c r="L24" s="3"/>
      <c r="M24" s="3"/>
      <c r="O24" s="2" t="s">
        <v>301</v>
      </c>
      <c r="P24" s="3">
        <v>42.825466440078465</v>
      </c>
      <c r="Q24" s="3"/>
      <c r="R24" s="3"/>
      <c r="S24" s="3"/>
      <c r="T24" s="3"/>
      <c r="V24" s="2" t="s">
        <v>292</v>
      </c>
      <c r="W24" s="3">
        <v>15.051379258329195</v>
      </c>
      <c r="X24" s="3"/>
      <c r="Y24" s="3"/>
      <c r="Z24" s="3"/>
      <c r="AA24" s="3"/>
      <c r="AC24" s="2" t="s">
        <v>311</v>
      </c>
      <c r="AD24" s="3">
        <v>45.001998082064418</v>
      </c>
      <c r="AE24" s="3"/>
      <c r="AF24" s="3"/>
      <c r="AG24" s="3"/>
      <c r="AH24" s="3"/>
      <c r="AJ24" s="2" t="s">
        <v>304</v>
      </c>
      <c r="AK24" s="3">
        <v>0.99590557908401012</v>
      </c>
      <c r="AL24" s="3"/>
      <c r="AM24" s="3"/>
      <c r="AN24" s="3"/>
      <c r="AO24" s="3"/>
      <c r="AQ24" s="2" t="s">
        <v>309</v>
      </c>
      <c r="AR24" s="3">
        <v>19.341171382457276</v>
      </c>
      <c r="AS24" s="3"/>
      <c r="AT24" s="3"/>
      <c r="AU24" s="3"/>
      <c r="AV24" s="3"/>
      <c r="AX24" s="2" t="s">
        <v>308</v>
      </c>
      <c r="AY24" s="3">
        <v>29.597979280859889</v>
      </c>
      <c r="AZ24" s="3"/>
      <c r="BA24" s="3"/>
      <c r="BB24" s="3"/>
      <c r="BC24" s="3"/>
      <c r="BE24" s="2" t="s">
        <v>305</v>
      </c>
      <c r="BF24" s="3">
        <v>33.860137384586366</v>
      </c>
      <c r="BG24" s="3"/>
      <c r="BH24" s="3"/>
      <c r="BI24" s="3"/>
      <c r="BJ24" s="3"/>
      <c r="BL24" s="2" t="s">
        <v>301</v>
      </c>
      <c r="BM24" s="3">
        <v>28.386724855994412</v>
      </c>
      <c r="BN24" s="3"/>
      <c r="BO24" s="3"/>
      <c r="BP24" s="3"/>
      <c r="BQ24" s="3"/>
      <c r="BS24" s="2" t="s">
        <v>296</v>
      </c>
      <c r="BT24" s="3">
        <v>39.985356071638442</v>
      </c>
      <c r="BU24" s="3"/>
      <c r="BV24" s="3"/>
      <c r="BW24" s="3"/>
      <c r="BX24" s="3"/>
      <c r="BZ24" s="2" t="s">
        <v>295</v>
      </c>
      <c r="CA24" s="3">
        <v>15.988962741411985</v>
      </c>
      <c r="CG24" s="2" t="s">
        <v>297</v>
      </c>
      <c r="CH24" s="3">
        <v>15.627820967938694</v>
      </c>
    </row>
    <row r="25" spans="1:86">
      <c r="A25" s="2" t="s">
        <v>297</v>
      </c>
      <c r="B25" s="3">
        <v>27.421869204610715</v>
      </c>
      <c r="C25" s="3"/>
      <c r="D25" s="3"/>
      <c r="E25" s="3"/>
      <c r="F25" s="3"/>
      <c r="H25" s="2" t="s">
        <v>293</v>
      </c>
      <c r="I25" s="3">
        <v>15.945527691485792</v>
      </c>
      <c r="J25" s="3"/>
      <c r="K25" s="3"/>
      <c r="L25" s="3"/>
      <c r="M25" s="3"/>
      <c r="O25" s="2" t="s">
        <v>309</v>
      </c>
      <c r="P25" s="3">
        <v>40.498723199875855</v>
      </c>
      <c r="Q25" s="3"/>
      <c r="R25" s="3"/>
      <c r="S25" s="3"/>
      <c r="T25" s="3"/>
      <c r="V25" s="2" t="s">
        <v>304</v>
      </c>
      <c r="W25" s="3">
        <v>14.086170050435873</v>
      </c>
      <c r="X25" s="3"/>
      <c r="Y25" s="3"/>
      <c r="Z25" s="3"/>
      <c r="AA25" s="3"/>
      <c r="AC25" s="2" t="s">
        <v>304</v>
      </c>
      <c r="AD25" s="3">
        <v>44.759978409603498</v>
      </c>
      <c r="AE25" s="3"/>
      <c r="AF25" s="3"/>
      <c r="AG25" s="3"/>
      <c r="AH25" s="3"/>
      <c r="AJ25" s="2" t="s">
        <v>306</v>
      </c>
      <c r="AK25" s="3">
        <v>0.43359124897529111</v>
      </c>
      <c r="AL25" s="3"/>
      <c r="AM25" s="3"/>
      <c r="AN25" s="3"/>
      <c r="AO25" s="3"/>
      <c r="AQ25" s="2" t="s">
        <v>297</v>
      </c>
      <c r="AR25" s="3">
        <v>16.916211578868687</v>
      </c>
      <c r="AS25" s="3"/>
      <c r="AT25" s="3"/>
      <c r="AU25" s="3"/>
      <c r="AV25" s="3"/>
      <c r="AX25" s="2" t="s">
        <v>309</v>
      </c>
      <c r="AY25" s="3">
        <v>29.106213342620517</v>
      </c>
      <c r="AZ25" s="3"/>
      <c r="BA25" s="3"/>
      <c r="BB25" s="3"/>
      <c r="BC25" s="3"/>
      <c r="BE25" s="2" t="s">
        <v>299</v>
      </c>
      <c r="BF25" s="3">
        <v>32.868514748600631</v>
      </c>
      <c r="BG25" s="3"/>
      <c r="BH25" s="3"/>
      <c r="BI25" s="3"/>
      <c r="BJ25" s="3"/>
      <c r="BL25" s="2" t="s">
        <v>295</v>
      </c>
      <c r="BM25" s="3">
        <v>22.791524109681667</v>
      </c>
      <c r="BN25" s="3"/>
      <c r="BO25" s="3"/>
      <c r="BP25" s="3"/>
      <c r="BQ25" s="3"/>
      <c r="BS25" s="2" t="s">
        <v>290</v>
      </c>
      <c r="BT25" s="3">
        <v>36.781054277739024</v>
      </c>
      <c r="BU25" s="3"/>
      <c r="BV25" s="3"/>
      <c r="BW25" s="3"/>
      <c r="BX25" s="3"/>
      <c r="BZ25" s="2" t="s">
        <v>313</v>
      </c>
      <c r="CA25" s="3">
        <v>12.121947610419717</v>
      </c>
      <c r="CG25" s="2" t="s">
        <v>312</v>
      </c>
      <c r="CH25" s="3">
        <v>15.241720355645466</v>
      </c>
    </row>
    <row r="26" spans="1:86">
      <c r="A26" s="2" t="s">
        <v>311</v>
      </c>
      <c r="B26" s="3">
        <v>27.051243784685575</v>
      </c>
      <c r="C26" s="3"/>
      <c r="D26" s="3"/>
      <c r="E26" s="3"/>
      <c r="F26" s="3"/>
      <c r="H26" s="2" t="s">
        <v>305</v>
      </c>
      <c r="I26" s="3">
        <v>15.298410083637878</v>
      </c>
      <c r="J26" s="3"/>
      <c r="K26" s="3"/>
      <c r="L26" s="3"/>
      <c r="M26" s="3"/>
      <c r="O26" s="2" t="s">
        <v>297</v>
      </c>
      <c r="P26" s="3">
        <v>37.615748605438512</v>
      </c>
      <c r="Q26" s="3"/>
      <c r="R26" s="3"/>
      <c r="S26" s="3"/>
      <c r="T26" s="3"/>
      <c r="V26" s="2" t="s">
        <v>311</v>
      </c>
      <c r="W26" s="3">
        <v>10.866953270392713</v>
      </c>
      <c r="X26" s="3"/>
      <c r="Y26" s="3"/>
      <c r="Z26" s="3"/>
      <c r="AA26" s="3"/>
      <c r="AC26" s="2" t="s">
        <v>309</v>
      </c>
      <c r="AD26" s="3">
        <v>41.781858215559325</v>
      </c>
      <c r="AE26" s="3"/>
      <c r="AF26" s="3"/>
      <c r="AG26" s="3"/>
      <c r="AH26" s="3"/>
      <c r="AJ26" s="2" t="s">
        <v>311</v>
      </c>
      <c r="AK26" s="3">
        <v>0.22699023351282843</v>
      </c>
      <c r="AL26" s="3"/>
      <c r="AM26" s="3"/>
      <c r="AN26" s="3"/>
      <c r="AO26" s="3"/>
      <c r="AQ26" s="2" t="s">
        <v>304</v>
      </c>
      <c r="AR26" s="3">
        <v>16.445318224507808</v>
      </c>
      <c r="AS26" s="3"/>
      <c r="AT26" s="3"/>
      <c r="AU26" s="3"/>
      <c r="AV26" s="3"/>
      <c r="AX26" s="2" t="s">
        <v>311</v>
      </c>
      <c r="AY26" s="3">
        <v>28.602870806674787</v>
      </c>
      <c r="AZ26" s="3"/>
      <c r="BA26" s="3"/>
      <c r="BB26" s="3"/>
      <c r="BC26" s="3"/>
      <c r="BE26" s="2" t="s">
        <v>293</v>
      </c>
      <c r="BF26" s="3">
        <v>29.354278162958181</v>
      </c>
      <c r="BG26" s="3"/>
      <c r="BH26" s="3"/>
      <c r="BI26" s="3"/>
      <c r="BJ26" s="3"/>
      <c r="BL26" s="2" t="s">
        <v>303</v>
      </c>
      <c r="BM26" s="3">
        <v>21.122436683727681</v>
      </c>
      <c r="BN26" s="3"/>
      <c r="BO26" s="3"/>
      <c r="BP26" s="3"/>
      <c r="BQ26" s="3"/>
      <c r="BS26" s="2" t="s">
        <v>292</v>
      </c>
      <c r="BT26" s="3">
        <v>36.710184920092637</v>
      </c>
      <c r="BU26" s="3"/>
      <c r="BV26" s="3"/>
      <c r="BW26" s="3"/>
      <c r="BX26" s="3"/>
      <c r="BZ26" s="2" t="s">
        <v>297</v>
      </c>
      <c r="CA26" s="3">
        <v>10.277264663899899</v>
      </c>
      <c r="CG26" s="2" t="s">
        <v>304</v>
      </c>
      <c r="CH26" s="3">
        <v>12.320977792866357</v>
      </c>
    </row>
    <row r="27" spans="1:86">
      <c r="A27" s="2" t="s">
        <v>309</v>
      </c>
      <c r="B27" s="3">
        <v>26.989129578455895</v>
      </c>
      <c r="C27" s="3"/>
      <c r="D27" s="3"/>
      <c r="E27" s="3"/>
      <c r="F27" s="3"/>
      <c r="H27" s="2" t="s">
        <v>311</v>
      </c>
      <c r="I27" s="3">
        <v>8.4299880609960027</v>
      </c>
      <c r="J27" s="3"/>
      <c r="K27" s="3"/>
      <c r="L27" s="3"/>
      <c r="M27" s="3"/>
      <c r="O27" s="2" t="s">
        <v>302</v>
      </c>
      <c r="P27" s="3">
        <v>31.185606853408366</v>
      </c>
      <c r="Q27" s="3"/>
      <c r="R27" s="3"/>
      <c r="S27" s="3"/>
      <c r="T27" s="3"/>
      <c r="V27" s="2" t="s">
        <v>305</v>
      </c>
      <c r="W27" s="3">
        <v>8.8619893064024389</v>
      </c>
      <c r="X27" s="3"/>
      <c r="Y27" s="3"/>
      <c r="Z27" s="3"/>
      <c r="AA27" s="3"/>
      <c r="AC27" s="2" t="s">
        <v>306</v>
      </c>
      <c r="AD27" s="3">
        <v>32.96747888318167</v>
      </c>
      <c r="AE27" s="3"/>
      <c r="AF27" s="3"/>
      <c r="AG27" s="3"/>
      <c r="AH27" s="3"/>
      <c r="AJ27" s="2" t="s">
        <v>301</v>
      </c>
      <c r="AK27" s="3">
        <v>4.0366926406847442E-2</v>
      </c>
      <c r="AL27" s="3"/>
      <c r="AM27" s="3"/>
      <c r="AN27" s="3"/>
      <c r="AO27" s="3"/>
      <c r="AQ27" s="2" t="s">
        <v>311</v>
      </c>
      <c r="AR27" s="3">
        <v>15.69305166942673</v>
      </c>
      <c r="AS27" s="3"/>
      <c r="AT27" s="3"/>
      <c r="AU27" s="3"/>
      <c r="AV27" s="3"/>
      <c r="AX27" s="2" t="s">
        <v>306</v>
      </c>
      <c r="AY27" s="3">
        <v>27.91700068781509</v>
      </c>
      <c r="AZ27" s="3"/>
      <c r="BA27" s="3"/>
      <c r="BB27" s="3"/>
      <c r="BC27" s="3"/>
      <c r="BE27" s="2" t="s">
        <v>295</v>
      </c>
      <c r="BF27" s="3">
        <v>28.027966296754386</v>
      </c>
      <c r="BG27" s="3"/>
      <c r="BH27" s="3"/>
      <c r="BI27" s="3"/>
      <c r="BJ27" s="3"/>
      <c r="BL27" s="2" t="s">
        <v>297</v>
      </c>
      <c r="BM27" s="3">
        <v>20.131725555148698</v>
      </c>
      <c r="BN27" s="3"/>
      <c r="BO27" s="3"/>
      <c r="BP27" s="3"/>
      <c r="BQ27" s="3"/>
      <c r="BS27" s="2" t="s">
        <v>295</v>
      </c>
      <c r="BT27" s="3">
        <v>35.919340894704689</v>
      </c>
      <c r="BU27" s="3"/>
      <c r="BV27" s="3"/>
      <c r="BW27" s="3"/>
      <c r="BX27" s="3"/>
      <c r="BZ27" s="2" t="s">
        <v>303</v>
      </c>
      <c r="CA27" s="3">
        <v>10.000836479091461</v>
      </c>
      <c r="CG27" s="2" t="s">
        <v>306</v>
      </c>
      <c r="CH27" s="3">
        <v>11.919709125449563</v>
      </c>
    </row>
    <row r="28" spans="1:86">
      <c r="A28" s="2" t="s">
        <v>305</v>
      </c>
      <c r="B28" s="3">
        <v>26.937712908191553</v>
      </c>
      <c r="C28" s="3"/>
      <c r="D28" s="3"/>
      <c r="E28" s="3"/>
      <c r="F28" s="3"/>
      <c r="H28" s="2" t="s">
        <v>291</v>
      </c>
      <c r="I28" s="3">
        <v>7.1315725188494845</v>
      </c>
      <c r="J28" s="3"/>
      <c r="K28" s="3"/>
      <c r="L28" s="3"/>
      <c r="M28" s="3"/>
      <c r="O28" s="2" t="s">
        <v>299</v>
      </c>
      <c r="P28" s="3">
        <v>25.985485337513303</v>
      </c>
      <c r="Q28" s="3"/>
      <c r="R28" s="3"/>
      <c r="S28" s="3"/>
      <c r="T28" s="3"/>
      <c r="V28" s="2" t="s">
        <v>291</v>
      </c>
      <c r="W28" s="3">
        <v>5.2703627652292955</v>
      </c>
      <c r="X28" s="3"/>
      <c r="Y28" s="3"/>
      <c r="Z28" s="3"/>
      <c r="AA28" s="3"/>
      <c r="AC28" s="2" t="s">
        <v>298</v>
      </c>
      <c r="AD28" s="3">
        <v>24.667058362710538</v>
      </c>
      <c r="AE28" s="3"/>
      <c r="AF28" s="3"/>
      <c r="AG28" s="3"/>
      <c r="AH28" s="3"/>
      <c r="AJ28" s="2" t="s">
        <v>309</v>
      </c>
      <c r="AK28" s="3">
        <v>1.1767474699929396E-2</v>
      </c>
      <c r="AL28" s="3"/>
      <c r="AM28" s="3"/>
      <c r="AN28" s="3"/>
      <c r="AO28" s="3"/>
      <c r="AQ28" s="2" t="s">
        <v>305</v>
      </c>
      <c r="AR28" s="3">
        <v>12.946020471393387</v>
      </c>
      <c r="AS28" s="3"/>
      <c r="AT28" s="3"/>
      <c r="AU28" s="3"/>
      <c r="AV28" s="3"/>
      <c r="AX28" s="2" t="s">
        <v>304</v>
      </c>
      <c r="AY28" s="3">
        <v>18.556170745663252</v>
      </c>
      <c r="AZ28" s="3"/>
      <c r="BA28" s="3"/>
      <c r="BB28" s="3"/>
      <c r="BC28" s="3"/>
      <c r="BE28" s="2" t="s">
        <v>309</v>
      </c>
      <c r="BF28" s="3">
        <v>14.477820421511758</v>
      </c>
      <c r="BG28" s="3"/>
      <c r="BH28" s="3"/>
      <c r="BI28" s="3"/>
      <c r="BJ28" s="3"/>
      <c r="BL28" s="2" t="s">
        <v>291</v>
      </c>
      <c r="BM28" s="3">
        <v>15.105123117856001</v>
      </c>
      <c r="BN28" s="3"/>
      <c r="BO28" s="3"/>
      <c r="BP28" s="3"/>
      <c r="BQ28" s="3"/>
      <c r="BS28" s="2" t="s">
        <v>301</v>
      </c>
      <c r="BT28" s="3">
        <v>31.652729935089518</v>
      </c>
      <c r="BU28" s="3"/>
      <c r="BV28" s="3"/>
      <c r="BW28" s="3"/>
      <c r="BX28" s="3"/>
      <c r="BZ28" s="2" t="s">
        <v>299</v>
      </c>
      <c r="CA28" s="3">
        <v>4.2577554880047375</v>
      </c>
      <c r="CG28" s="2" t="s">
        <v>309</v>
      </c>
      <c r="CH28" s="3">
        <v>11.368062474127202</v>
      </c>
    </row>
    <row r="29" spans="1:86">
      <c r="A29" s="2" t="s">
        <v>284</v>
      </c>
      <c r="B29" s="3">
        <v>37.659020266427028</v>
      </c>
      <c r="C29" s="3"/>
      <c r="D29" s="3"/>
      <c r="E29" s="3"/>
      <c r="F29" s="3"/>
      <c r="H29" s="2" t="s">
        <v>284</v>
      </c>
      <c r="I29" s="3">
        <v>30.680023799963838</v>
      </c>
      <c r="J29" s="3"/>
      <c r="K29" s="3"/>
      <c r="L29" s="3"/>
      <c r="M29" s="3"/>
      <c r="O29" s="2" t="s">
        <v>284</v>
      </c>
      <c r="P29" s="3">
        <v>55.371254128129046</v>
      </c>
      <c r="Q29" s="3"/>
      <c r="R29" s="3"/>
      <c r="S29" s="3"/>
      <c r="T29" s="3"/>
      <c r="V29" s="2" t="s">
        <v>284</v>
      </c>
      <c r="W29" s="3">
        <v>28.152546631116454</v>
      </c>
      <c r="X29" s="3"/>
      <c r="Y29" s="3"/>
      <c r="Z29" s="3"/>
      <c r="AA29" s="3"/>
      <c r="AC29" s="2" t="s">
        <v>284</v>
      </c>
      <c r="AD29" s="3">
        <v>58.754764143501063</v>
      </c>
      <c r="AE29" s="3"/>
      <c r="AF29" s="3"/>
      <c r="AG29" s="3"/>
      <c r="AH29" s="3"/>
      <c r="AJ29" s="2" t="s">
        <v>284</v>
      </c>
      <c r="AK29" s="3">
        <v>14.339373437911618</v>
      </c>
      <c r="AL29" s="3"/>
      <c r="AM29" s="3"/>
      <c r="AN29" s="3"/>
      <c r="AO29" s="3"/>
      <c r="AQ29" s="2" t="s">
        <v>284</v>
      </c>
      <c r="AR29" s="3">
        <v>28.733454514443608</v>
      </c>
      <c r="AS29" s="3"/>
      <c r="AT29" s="3"/>
      <c r="AU29" s="3"/>
      <c r="AV29" s="3"/>
      <c r="AX29" s="2" t="s">
        <v>284</v>
      </c>
      <c r="AY29" s="3">
        <v>44.792339767830043</v>
      </c>
      <c r="AZ29" s="3"/>
      <c r="BA29" s="3"/>
      <c r="BB29" s="3"/>
      <c r="BC29" s="3"/>
      <c r="BE29" s="2" t="s">
        <v>284</v>
      </c>
      <c r="BF29" s="3">
        <v>44.395274118828063</v>
      </c>
      <c r="BG29" s="3"/>
      <c r="BH29" s="3"/>
      <c r="BI29" s="3"/>
      <c r="BJ29" s="3"/>
      <c r="BL29" s="2" t="s">
        <v>284</v>
      </c>
      <c r="BM29" s="3">
        <v>39.22074442093956</v>
      </c>
      <c r="BN29" s="3"/>
      <c r="BO29" s="3"/>
      <c r="BP29" s="3"/>
      <c r="BQ29" s="3"/>
      <c r="BS29" s="2" t="s">
        <v>284</v>
      </c>
      <c r="BT29" s="3">
        <v>44.254618156664115</v>
      </c>
      <c r="BU29" s="3"/>
      <c r="BV29" s="3"/>
      <c r="BW29" s="3"/>
      <c r="BX29" s="3"/>
      <c r="BZ29" s="2" t="s">
        <v>284</v>
      </c>
      <c r="CA29" s="3">
        <v>34.506151797559554</v>
      </c>
      <c r="CG29" s="2" t="s">
        <v>284</v>
      </c>
      <c r="CH29" s="3">
        <v>38.476080188794135</v>
      </c>
    </row>
    <row r="33" spans="1:86">
      <c r="A33" t="str">
        <f>+A3</f>
        <v>Promedio de Total general</v>
      </c>
      <c r="H33" t="str">
        <f>+H3</f>
        <v>Promedio de Desempeño Económico</v>
      </c>
      <c r="O33" t="str">
        <f>+O3</f>
        <v>Promedio de Empleo</v>
      </c>
      <c r="V33" t="str">
        <f>+V3</f>
        <v>Promedio de Gestión Empresarial</v>
      </c>
      <c r="AC33" t="str">
        <f>+AC3</f>
        <v>Promedio de Infraestructura y Localización</v>
      </c>
      <c r="AJ33" t="str">
        <f>+AJ3</f>
        <v>Promedio de Internacionalización y Apertura</v>
      </c>
      <c r="AQ33" t="str">
        <f>+AQ3</f>
        <v>Promedio de Mercados financieros</v>
      </c>
      <c r="AX33" t="str">
        <f>+AX3</f>
        <v>Promedio de Urbanización</v>
      </c>
      <c r="BE33" t="str">
        <f>+BE3</f>
        <v>Promedio de Desarrollo Integral de las personas</v>
      </c>
      <c r="BL33" t="str">
        <f>+BL3</f>
        <v>Promedio de Gestión, Gobiernos e Instituciones</v>
      </c>
      <c r="BS33" t="str">
        <f>+BS3</f>
        <v>Promedio de Recursos Naturales y Ambiente</v>
      </c>
      <c r="BZ33" t="str">
        <f>+BZ3</f>
        <v>Promedio de Seguridad Jurídica</v>
      </c>
      <c r="CG33" t="str">
        <f>+CG3</f>
        <v>Promedio de Habilitantes de Innovación, Ciencia y Tecnología</v>
      </c>
    </row>
    <row r="34" spans="1:86">
      <c r="A34" t="str">
        <f>+A4</f>
        <v>Etiquetas de fila</v>
      </c>
      <c r="B34" t="str">
        <f t="shared" ref="B34:B58" si="0">+B4</f>
        <v>Total</v>
      </c>
      <c r="H34" t="str">
        <f>+H4</f>
        <v>Etiquetas de fila</v>
      </c>
      <c r="I34" t="str">
        <f t="shared" ref="I34:I58" si="1">+I4</f>
        <v>Total</v>
      </c>
      <c r="O34" t="str">
        <f>+O4</f>
        <v>Etiquetas de fila</v>
      </c>
      <c r="P34" t="str">
        <f t="shared" ref="P34:P58" si="2">+P4</f>
        <v>Total</v>
      </c>
      <c r="V34" t="str">
        <f>+V4</f>
        <v>Etiquetas de fila</v>
      </c>
      <c r="W34" t="str">
        <f t="shared" ref="W34:W58" si="3">+W4</f>
        <v>Total</v>
      </c>
      <c r="AC34" t="str">
        <f>+AC4</f>
        <v>Etiquetas de fila</v>
      </c>
      <c r="AD34" t="str">
        <f t="shared" ref="AD34:AD58" si="4">+AD4</f>
        <v>Total</v>
      </c>
      <c r="AJ34" t="str">
        <f>+AJ4</f>
        <v>Etiquetas de fila</v>
      </c>
      <c r="AK34" t="str">
        <f t="shared" ref="AK34:AK58" si="5">+AK4</f>
        <v>Total</v>
      </c>
      <c r="AQ34" t="str">
        <f>+AQ4</f>
        <v>Etiquetas de fila</v>
      </c>
      <c r="AR34" t="str">
        <f t="shared" ref="AR34:AR58" si="6">+AR4</f>
        <v>Total</v>
      </c>
      <c r="AX34" t="str">
        <f>+AX4</f>
        <v>Etiquetas de fila</v>
      </c>
      <c r="AY34" t="str">
        <f t="shared" ref="AY34:AY58" si="7">+AY4</f>
        <v>Total</v>
      </c>
      <c r="BE34" t="str">
        <f>+BE4</f>
        <v>Etiquetas de fila</v>
      </c>
      <c r="BF34" t="str">
        <f t="shared" ref="BF34:BF58" si="8">+BF4</f>
        <v>Total</v>
      </c>
      <c r="BL34" t="str">
        <f>+BL4</f>
        <v>Etiquetas de fila</v>
      </c>
      <c r="BM34" t="str">
        <f t="shared" ref="BM34:BM58" si="9">+BM4</f>
        <v>Total</v>
      </c>
      <c r="BS34" t="str">
        <f>+BS4</f>
        <v>Etiquetas de fila</v>
      </c>
      <c r="BT34" t="str">
        <f t="shared" ref="BT34:BT58" si="10">+BT4</f>
        <v>Total</v>
      </c>
      <c r="BZ34" t="str">
        <f>+BZ4</f>
        <v>Etiquetas de fila</v>
      </c>
      <c r="CA34" t="str">
        <f t="shared" ref="CA34:CA58" si="11">+CA4</f>
        <v>Total</v>
      </c>
      <c r="CG34" t="str">
        <f>+CG4</f>
        <v>Etiquetas de fila</v>
      </c>
      <c r="CH34" t="str">
        <f t="shared" ref="CH34:CH58" si="12">+CH4</f>
        <v>Total</v>
      </c>
    </row>
    <row r="35" spans="1:86">
      <c r="A35" t="str">
        <f t="shared" ref="A35:A58" si="13">+A5</f>
        <v xml:space="preserve">Promedio de 19. Pichincha - Estándar </v>
      </c>
      <c r="B35">
        <f t="shared" si="0"/>
        <v>72.606087506553791</v>
      </c>
      <c r="H35" t="str">
        <f t="shared" ref="H35:H58" si="14">+H5</f>
        <v xml:space="preserve">Promedio de 19. Pichincha - Estándar </v>
      </c>
      <c r="I35">
        <f t="shared" si="1"/>
        <v>79.713315598302742</v>
      </c>
      <c r="O35" t="str">
        <f t="shared" ref="O35:O58" si="15">+O5</f>
        <v xml:space="preserve">Promedio de 9. Galápagos - Estándar </v>
      </c>
      <c r="P35">
        <f t="shared" si="2"/>
        <v>89.853417899929582</v>
      </c>
      <c r="V35" t="str">
        <f t="shared" ref="V35:V58" si="16">+V5</f>
        <v xml:space="preserve">Promedio de 19. Pichincha - Estándar </v>
      </c>
      <c r="W35">
        <f t="shared" si="3"/>
        <v>81.019166845981928</v>
      </c>
      <c r="AC35" t="str">
        <f t="shared" ref="AC35:AC58" si="17">+AC5</f>
        <v xml:space="preserve">Promedio de 19. Pichincha - Estándar </v>
      </c>
      <c r="AD35">
        <f t="shared" si="4"/>
        <v>81.071609676744174</v>
      </c>
      <c r="AJ35" t="str">
        <f t="shared" ref="AJ35:AJ58" si="18">+AJ5</f>
        <v xml:space="preserve">Promedio de 19. Pichincha - Estándar </v>
      </c>
      <c r="AK35">
        <f t="shared" si="5"/>
        <v>82.301898322812576</v>
      </c>
      <c r="AQ35" t="str">
        <f t="shared" ref="AQ35:AQ58" si="19">+AQ5</f>
        <v xml:space="preserve">Promedio de 19. Pichincha - Estándar </v>
      </c>
      <c r="AR35">
        <f t="shared" si="6"/>
        <v>78.97715440132761</v>
      </c>
      <c r="AX35" t="str">
        <f t="shared" ref="AX35:AX58" si="20">+AX5</f>
        <v xml:space="preserve">Promedio de 19. Pichincha - Estándar </v>
      </c>
      <c r="AY35">
        <f t="shared" si="7"/>
        <v>87.620446096752417</v>
      </c>
      <c r="BE35" t="str">
        <f t="shared" ref="BE35:BE58" si="21">+BE5</f>
        <v xml:space="preserve">Promedio de 9. Galápagos - Estándar </v>
      </c>
      <c r="BF35">
        <f t="shared" si="8"/>
        <v>79.964392399555592</v>
      </c>
      <c r="BL35" t="str">
        <f t="shared" ref="BL35:BL58" si="22">+BL5</f>
        <v xml:space="preserve">Promedio de 9. Galápagos - Estándar </v>
      </c>
      <c r="BM35">
        <f t="shared" si="9"/>
        <v>74.029681925442702</v>
      </c>
      <c r="BS35" t="str">
        <f t="shared" ref="BS35:BS58" si="23">+BS5</f>
        <v>Promedio de 24. Santo Domingo de los Tsachilas</v>
      </c>
      <c r="BT35">
        <f t="shared" si="10"/>
        <v>51.333589789961366</v>
      </c>
      <c r="BZ35" t="str">
        <f t="shared" ref="BZ35:BZ58" si="24">+BZ5</f>
        <v xml:space="preserve">Promedio de 9. Galápagos - Estándar </v>
      </c>
      <c r="CA35">
        <f t="shared" si="11"/>
        <v>78.740250317897036</v>
      </c>
      <c r="CG35" t="str">
        <f t="shared" ref="CG35:CG58" si="25">+CG5</f>
        <v xml:space="preserve">Promedio de 19. Pichincha - Estándar </v>
      </c>
      <c r="CH35">
        <f t="shared" si="12"/>
        <v>68.453370687455973</v>
      </c>
    </row>
    <row r="36" spans="1:86">
      <c r="A36" t="str">
        <f t="shared" si="13"/>
        <v xml:space="preserve">Promedio de 9. Galápagos - Estándar </v>
      </c>
      <c r="B36">
        <f t="shared" si="0"/>
        <v>54.752643578223434</v>
      </c>
      <c r="H36" t="str">
        <f t="shared" si="14"/>
        <v xml:space="preserve">Promedio de 17. Francisco de Orellana - Estándar </v>
      </c>
      <c r="I36">
        <f t="shared" si="1"/>
        <v>55.142956952798293</v>
      </c>
      <c r="O36" t="str">
        <f t="shared" si="15"/>
        <v xml:space="preserve">Promedio de 5. Chimborazo - Estándar </v>
      </c>
      <c r="P36">
        <f t="shared" si="2"/>
        <v>78.001621523719052</v>
      </c>
      <c r="V36" t="str">
        <f t="shared" si="16"/>
        <v xml:space="preserve">Promedio de 10. Guayas - Estándar </v>
      </c>
      <c r="W36">
        <f t="shared" si="3"/>
        <v>67.129352145025649</v>
      </c>
      <c r="AC36" t="str">
        <f t="shared" si="17"/>
        <v>Promedio de 1. Azuay - Estandar</v>
      </c>
      <c r="AD36">
        <f t="shared" si="4"/>
        <v>75.82068883367036</v>
      </c>
      <c r="AJ36" t="str">
        <f t="shared" si="18"/>
        <v xml:space="preserve">Promedio de 10. Guayas - Estándar </v>
      </c>
      <c r="AK36">
        <f t="shared" si="5"/>
        <v>48.468861015080584</v>
      </c>
      <c r="AQ36" t="str">
        <f t="shared" si="19"/>
        <v xml:space="preserve">Promedio de 10. Guayas - Estándar </v>
      </c>
      <c r="AR36">
        <f t="shared" si="6"/>
        <v>58.982295857430486</v>
      </c>
      <c r="AX36" t="str">
        <f t="shared" si="20"/>
        <v xml:space="preserve">Promedio de 10. Guayas - Estándar </v>
      </c>
      <c r="AY36">
        <f t="shared" si="7"/>
        <v>67.785111808675751</v>
      </c>
      <c r="BE36" t="str">
        <f t="shared" si="21"/>
        <v xml:space="preserve">Promedio de 19. Pichincha - Estándar </v>
      </c>
      <c r="BF36">
        <f t="shared" si="8"/>
        <v>76.773191058661112</v>
      </c>
      <c r="BL36" t="str">
        <f t="shared" si="22"/>
        <v xml:space="preserve">Promedio de 19. Pichincha - Estándar </v>
      </c>
      <c r="BM36">
        <f t="shared" si="9"/>
        <v>63.622607841463342</v>
      </c>
      <c r="BS36" t="str">
        <f t="shared" si="23"/>
        <v xml:space="preserve">Promedio de 9. Galápagos - Estándar </v>
      </c>
      <c r="BT36">
        <f t="shared" si="10"/>
        <v>50</v>
      </c>
      <c r="BZ36" t="str">
        <f t="shared" si="24"/>
        <v>Promedio de 23. Santa Elena</v>
      </c>
      <c r="CA36">
        <f t="shared" si="11"/>
        <v>58.690096321824583</v>
      </c>
      <c r="CG36" t="str">
        <f t="shared" si="25"/>
        <v xml:space="preserve">Promedio de 9. Galápagos - Estándar </v>
      </c>
      <c r="CH36">
        <f t="shared" si="12"/>
        <v>68.291430792095767</v>
      </c>
    </row>
    <row r="37" spans="1:86">
      <c r="A37" t="str">
        <f t="shared" si="13"/>
        <v xml:space="preserve">Promedio de 10. Guayas - Estándar </v>
      </c>
      <c r="B37">
        <f t="shared" si="0"/>
        <v>47.833540790853192</v>
      </c>
      <c r="H37" t="str">
        <f t="shared" si="14"/>
        <v xml:space="preserve">Promedio de 9. Galápagos - Estándar </v>
      </c>
      <c r="I37">
        <f t="shared" si="1"/>
        <v>47.547021686748124</v>
      </c>
      <c r="O37" t="str">
        <f t="shared" si="15"/>
        <v>Promedio de 1. Azuay - Estandar</v>
      </c>
      <c r="P37">
        <f t="shared" si="2"/>
        <v>76.41402986100718</v>
      </c>
      <c r="V37" t="str">
        <f t="shared" si="16"/>
        <v xml:space="preserve">Promedio de 9. Galápagos - Estándar </v>
      </c>
      <c r="W37">
        <f t="shared" si="3"/>
        <v>47.256519181103876</v>
      </c>
      <c r="AC37" t="str">
        <f t="shared" si="17"/>
        <v xml:space="preserve">Promedio de 10. Guayas - Estándar </v>
      </c>
      <c r="AD37">
        <f t="shared" si="4"/>
        <v>72.937120904801702</v>
      </c>
      <c r="AJ37" t="str">
        <f t="shared" si="18"/>
        <v xml:space="preserve">Promedio de 9. Galápagos - Estándar </v>
      </c>
      <c r="AK37">
        <f t="shared" si="5"/>
        <v>34.588247225839929</v>
      </c>
      <c r="AQ37" t="str">
        <f t="shared" si="19"/>
        <v>Promedio de 1. Azuay - Estandar</v>
      </c>
      <c r="AR37">
        <f t="shared" si="6"/>
        <v>40.827968000960567</v>
      </c>
      <c r="AX37" t="str">
        <f t="shared" si="20"/>
        <v xml:space="preserve">Promedio de 9. Galápagos - Estándar </v>
      </c>
      <c r="AY37">
        <f t="shared" si="7"/>
        <v>64.849247259041078</v>
      </c>
      <c r="BE37" t="str">
        <f t="shared" si="21"/>
        <v xml:space="preserve">Promedio de 21. Tungurahua - Estáncar </v>
      </c>
      <c r="BF37">
        <f t="shared" si="8"/>
        <v>61.127621647540195</v>
      </c>
      <c r="BL37" t="str">
        <f t="shared" si="22"/>
        <v xml:space="preserve">Promedio de 17. Francisco de Orellana - Estándar </v>
      </c>
      <c r="BM37">
        <f t="shared" si="9"/>
        <v>54.664802899120524</v>
      </c>
      <c r="BS37" t="str">
        <f t="shared" si="23"/>
        <v xml:space="preserve">Promedio de 18. Pastaza - Estáncar </v>
      </c>
      <c r="BT37">
        <f t="shared" si="10"/>
        <v>49.637398478331349</v>
      </c>
      <c r="BZ37" t="str">
        <f t="shared" si="24"/>
        <v xml:space="preserve">Promedio de 3. Cañar - Estándar </v>
      </c>
      <c r="CA37">
        <f t="shared" si="11"/>
        <v>55.239272929908687</v>
      </c>
      <c r="CG37" t="str">
        <f t="shared" si="25"/>
        <v xml:space="preserve">Promedio de 11. Imbabura -Estándar </v>
      </c>
      <c r="CH37">
        <f t="shared" si="12"/>
        <v>66.898228095033318</v>
      </c>
    </row>
    <row r="38" spans="1:86">
      <c r="A38" t="str">
        <f t="shared" si="13"/>
        <v>Promedio de 1. Azuay - Estandar</v>
      </c>
      <c r="B38">
        <f t="shared" si="0"/>
        <v>47.750362781198334</v>
      </c>
      <c r="H38" t="str">
        <f t="shared" si="14"/>
        <v>Promedio de 1. Azuay - Estandar</v>
      </c>
      <c r="I38">
        <f t="shared" si="1"/>
        <v>43.441651067617762</v>
      </c>
      <c r="O38" t="str">
        <f t="shared" si="15"/>
        <v>Promedio de 24. Santo Domingo de los Tsachilas</v>
      </c>
      <c r="P38">
        <f t="shared" si="2"/>
        <v>72.134573202243431</v>
      </c>
      <c r="V38" t="str">
        <f t="shared" si="16"/>
        <v>Promedio de 1. Azuay - Estandar</v>
      </c>
      <c r="W38">
        <f t="shared" si="3"/>
        <v>45.39235203231614</v>
      </c>
      <c r="AC38" t="str">
        <f t="shared" si="17"/>
        <v xml:space="preserve">Promedio de 3. Cañar - Estándar </v>
      </c>
      <c r="AD38">
        <f t="shared" si="4"/>
        <v>72.57768417448392</v>
      </c>
      <c r="AJ38" t="str">
        <f t="shared" si="18"/>
        <v xml:space="preserve">Promedio de 6. Cotopaxi - Estándar </v>
      </c>
      <c r="AK38">
        <f t="shared" si="5"/>
        <v>27.985914035271627</v>
      </c>
      <c r="AQ38" t="str">
        <f t="shared" si="19"/>
        <v xml:space="preserve">Promedio de 9. Galápagos - Estándar </v>
      </c>
      <c r="AR38">
        <f t="shared" si="6"/>
        <v>39.478535605991659</v>
      </c>
      <c r="AX38" t="str">
        <f t="shared" si="20"/>
        <v>Promedio de 1. Azuay - Estandar</v>
      </c>
      <c r="AY38">
        <f t="shared" si="7"/>
        <v>59.374328697385472</v>
      </c>
      <c r="BE38" t="str">
        <f t="shared" si="21"/>
        <v xml:space="preserve">Promedio de 11. Imbabura -Estándar </v>
      </c>
      <c r="BF38">
        <f t="shared" si="8"/>
        <v>61.060482317960719</v>
      </c>
      <c r="BL38" t="str">
        <f t="shared" si="22"/>
        <v xml:space="preserve">Promedio de 15. Morona Santiago - Estáncar </v>
      </c>
      <c r="BM38">
        <f t="shared" si="9"/>
        <v>54.198383458697762</v>
      </c>
      <c r="BS38" t="str">
        <f t="shared" si="23"/>
        <v xml:space="preserve">Promedio de 14. Manabí - Estáncar </v>
      </c>
      <c r="BT38">
        <f t="shared" si="10"/>
        <v>49.314301937270919</v>
      </c>
      <c r="BZ38" t="str">
        <f t="shared" si="24"/>
        <v xml:space="preserve">Promedio de 15. Morona Santiago - Estáncar </v>
      </c>
      <c r="CA38">
        <f t="shared" si="11"/>
        <v>50.546380078405107</v>
      </c>
      <c r="CG38" t="str">
        <f t="shared" si="25"/>
        <v xml:space="preserve">Promedio de 12. Loja - Estándar </v>
      </c>
      <c r="CH38">
        <f t="shared" si="12"/>
        <v>66.425814998907455</v>
      </c>
    </row>
    <row r="39" spans="1:86">
      <c r="A39" t="str">
        <f t="shared" si="13"/>
        <v xml:space="preserve">Promedio de 21. Tungurahua - Estáncar </v>
      </c>
      <c r="B39">
        <f t="shared" si="0"/>
        <v>44.329655743341036</v>
      </c>
      <c r="H39" t="str">
        <f t="shared" si="14"/>
        <v xml:space="preserve">Promedio de 10. Guayas - Estándar </v>
      </c>
      <c r="I39">
        <f t="shared" si="1"/>
        <v>42.019014291409171</v>
      </c>
      <c r="O39" t="str">
        <f t="shared" si="15"/>
        <v xml:space="preserve">Promedio de 15. Morona Santiago - Estáncar </v>
      </c>
      <c r="P39">
        <f t="shared" si="2"/>
        <v>68.7910406701927</v>
      </c>
      <c r="V39" t="str">
        <f t="shared" si="16"/>
        <v xml:space="preserve">Promedio de 21. Tungurahua - Estáncar </v>
      </c>
      <c r="W39">
        <f t="shared" si="3"/>
        <v>41.679039738057519</v>
      </c>
      <c r="AC39" t="str">
        <f t="shared" si="17"/>
        <v xml:space="preserve">Promedio de 7. El Oro - Estándar </v>
      </c>
      <c r="AD39">
        <f t="shared" si="4"/>
        <v>70.893353773522435</v>
      </c>
      <c r="AJ39" t="str">
        <f t="shared" si="18"/>
        <v xml:space="preserve">Promedio de 7. El Oro - Estándar </v>
      </c>
      <c r="AK39">
        <f t="shared" si="5"/>
        <v>25.696342709304538</v>
      </c>
      <c r="AQ39" t="str">
        <f t="shared" si="19"/>
        <v xml:space="preserve">Promedio de 11. Imbabura -Estándar </v>
      </c>
      <c r="AR39">
        <f t="shared" si="6"/>
        <v>36.215753539402016</v>
      </c>
      <c r="AX39" t="str">
        <f t="shared" si="20"/>
        <v xml:space="preserve">Promedio de 7. El Oro - Estándar </v>
      </c>
      <c r="AY39">
        <f t="shared" si="7"/>
        <v>59.210009520353957</v>
      </c>
      <c r="BE39" t="str">
        <f t="shared" si="21"/>
        <v xml:space="preserve">Promedio de 7. El Oro - Estándar </v>
      </c>
      <c r="BF39">
        <f t="shared" si="8"/>
        <v>58.551913583832807</v>
      </c>
      <c r="BL39" t="str">
        <f t="shared" si="22"/>
        <v xml:space="preserve">Promedio de 11. Imbabura -Estándar </v>
      </c>
      <c r="BM39">
        <f t="shared" si="9"/>
        <v>52.930207951140041</v>
      </c>
      <c r="BS39" t="str">
        <f t="shared" si="23"/>
        <v xml:space="preserve">Promedio de 16. Napo - Estáncar </v>
      </c>
      <c r="BT39">
        <f t="shared" si="10"/>
        <v>48.978773587953803</v>
      </c>
      <c r="BZ39" t="str">
        <f t="shared" si="24"/>
        <v xml:space="preserve">Promedio de 4. Carchi - Estándar </v>
      </c>
      <c r="CA39">
        <f t="shared" si="11"/>
        <v>48.538502722160324</v>
      </c>
      <c r="CG39" t="str">
        <f t="shared" si="25"/>
        <v xml:space="preserve">Promedio de 5. Chimborazo - Estándar </v>
      </c>
      <c r="CH39">
        <f t="shared" si="12"/>
        <v>62.342505754102497</v>
      </c>
    </row>
    <row r="40" spans="1:86">
      <c r="A40" t="str">
        <f t="shared" si="13"/>
        <v xml:space="preserve">Promedio de 7. El Oro - Estándar </v>
      </c>
      <c r="B40">
        <f t="shared" si="0"/>
        <v>43.687953619820881</v>
      </c>
      <c r="H40" t="str">
        <f t="shared" si="14"/>
        <v xml:space="preserve">Promedio de 21. Tungurahua - Estáncar </v>
      </c>
      <c r="I40">
        <f t="shared" si="1"/>
        <v>39.368689373214707</v>
      </c>
      <c r="O40" t="str">
        <f t="shared" si="15"/>
        <v xml:space="preserve">Promedio de 2. Bolívar - Estándar </v>
      </c>
      <c r="P40">
        <f t="shared" si="2"/>
        <v>67.76218973104065</v>
      </c>
      <c r="V40" t="str">
        <f t="shared" si="16"/>
        <v xml:space="preserve">Promedio de 7. El Oro - Estándar </v>
      </c>
      <c r="W40">
        <f t="shared" si="3"/>
        <v>32.718826236183872</v>
      </c>
      <c r="AC40" t="str">
        <f t="shared" si="17"/>
        <v xml:space="preserve">Promedio de 11. Imbabura -Estándar </v>
      </c>
      <c r="AD40">
        <f t="shared" si="4"/>
        <v>70.035601866878295</v>
      </c>
      <c r="AJ40" t="str">
        <f t="shared" si="18"/>
        <v xml:space="preserve">Promedio de 11. Imbabura -Estándar </v>
      </c>
      <c r="AK40">
        <f t="shared" si="5"/>
        <v>19.227205647001888</v>
      </c>
      <c r="AQ40" t="str">
        <f t="shared" si="19"/>
        <v xml:space="preserve">Promedio de 21. Tungurahua - Estáncar </v>
      </c>
      <c r="AR40">
        <f t="shared" si="6"/>
        <v>34.237076763558335</v>
      </c>
      <c r="AX40" t="str">
        <f t="shared" si="20"/>
        <v xml:space="preserve">Promedio de 21. Tungurahua - Estáncar </v>
      </c>
      <c r="AY40">
        <f t="shared" si="7"/>
        <v>59.122432365784626</v>
      </c>
      <c r="BE40" t="str">
        <f t="shared" si="21"/>
        <v>Promedio de 1. Azuay - Estandar</v>
      </c>
      <c r="BF40">
        <f t="shared" si="8"/>
        <v>55.434288884426287</v>
      </c>
      <c r="BL40" t="str">
        <f t="shared" si="22"/>
        <v xml:space="preserve">Promedio de 7. El Oro - Estándar </v>
      </c>
      <c r="BM40">
        <f t="shared" si="9"/>
        <v>47.679285583442862</v>
      </c>
      <c r="BS40" t="str">
        <f t="shared" si="23"/>
        <v xml:space="preserve">Promedio de 8. Esmeraldas - Estándar </v>
      </c>
      <c r="BT40">
        <f t="shared" si="10"/>
        <v>48.715997682336351</v>
      </c>
      <c r="BZ40" t="str">
        <f t="shared" si="24"/>
        <v xml:space="preserve">Promedio de 11. Imbabura -Estándar </v>
      </c>
      <c r="CA40">
        <f t="shared" si="11"/>
        <v>45.373492792027356</v>
      </c>
      <c r="CG40" t="str">
        <f t="shared" si="25"/>
        <v xml:space="preserve">Promedio de 21. Tungurahua - Estáncar </v>
      </c>
      <c r="CH40">
        <f t="shared" si="12"/>
        <v>53.424441801785072</v>
      </c>
    </row>
    <row r="41" spans="1:86">
      <c r="A41" t="str">
        <f t="shared" si="13"/>
        <v xml:space="preserve">Promedio de 11. Imbabura -Estándar </v>
      </c>
      <c r="B41">
        <f t="shared" si="0"/>
        <v>43.470465525633784</v>
      </c>
      <c r="H41" t="str">
        <f t="shared" si="14"/>
        <v xml:space="preserve">Promedio de 5. Chimborazo - Estándar </v>
      </c>
      <c r="I41">
        <f t="shared" si="1"/>
        <v>37.944543791389293</v>
      </c>
      <c r="O41" t="str">
        <f t="shared" si="15"/>
        <v xml:space="preserve">Promedio de 6. Cotopaxi - Estándar </v>
      </c>
      <c r="P41">
        <f t="shared" si="2"/>
        <v>66.730110560407539</v>
      </c>
      <c r="V41" t="str">
        <f t="shared" si="16"/>
        <v>Promedio de 24. Santo Domingo de los Tsachilas</v>
      </c>
      <c r="W41">
        <f t="shared" si="3"/>
        <v>30.757113894813561</v>
      </c>
      <c r="AC41" t="str">
        <f t="shared" si="17"/>
        <v xml:space="preserve">Promedio de 21. Tungurahua - Estáncar </v>
      </c>
      <c r="AD41">
        <f t="shared" si="4"/>
        <v>69.645563665503232</v>
      </c>
      <c r="AJ41" t="str">
        <f t="shared" si="18"/>
        <v xml:space="preserve">Promedio de 14. Manabí - Estáncar </v>
      </c>
      <c r="AK41">
        <f t="shared" si="5"/>
        <v>17.468238048778058</v>
      </c>
      <c r="AQ41" t="str">
        <f t="shared" si="19"/>
        <v>Promedio de 23. Santa Elena</v>
      </c>
      <c r="AR41">
        <f t="shared" si="6"/>
        <v>32.337785247655731</v>
      </c>
      <c r="AX41" t="str">
        <f t="shared" si="20"/>
        <v xml:space="preserve">Promedio de 11. Imbabura -Estándar </v>
      </c>
      <c r="AY41">
        <f t="shared" si="7"/>
        <v>51.50562543229583</v>
      </c>
      <c r="BE41" t="str">
        <f t="shared" si="21"/>
        <v xml:space="preserve">Promedio de 12. Loja - Estándar </v>
      </c>
      <c r="BF41">
        <f t="shared" si="8"/>
        <v>51.917747831003183</v>
      </c>
      <c r="BL41" t="str">
        <f t="shared" si="22"/>
        <v xml:space="preserve">Promedio de 22. Zamora Chinchipe - Estándar </v>
      </c>
      <c r="BM41">
        <f t="shared" si="9"/>
        <v>47.06226039825669</v>
      </c>
      <c r="BS41" t="str">
        <f t="shared" si="23"/>
        <v xml:space="preserve">Promedio de 17. Francisco de Orellana - Estándar </v>
      </c>
      <c r="BT41">
        <f t="shared" si="10"/>
        <v>48.524455421574508</v>
      </c>
      <c r="BZ41" t="str">
        <f t="shared" si="24"/>
        <v xml:space="preserve">Promedio de 17. Francisco de Orellana - Estándar </v>
      </c>
      <c r="CA41">
        <f t="shared" si="11"/>
        <v>43.102225250239115</v>
      </c>
      <c r="CG41" t="str">
        <f t="shared" si="25"/>
        <v>Promedio de 1. Azuay - Estandar</v>
      </c>
      <c r="CH41">
        <f t="shared" si="12"/>
        <v>53.278712508208059</v>
      </c>
    </row>
    <row r="42" spans="1:86">
      <c r="A42" t="str">
        <f t="shared" si="13"/>
        <v xml:space="preserve">Promedio de 5. Chimborazo - Estándar </v>
      </c>
      <c r="B42">
        <f t="shared" si="0"/>
        <v>39.196682697318202</v>
      </c>
      <c r="H42" t="str">
        <f t="shared" si="14"/>
        <v>Promedio de 23. Santa Elena</v>
      </c>
      <c r="I42">
        <f t="shared" si="1"/>
        <v>36.218328108745787</v>
      </c>
      <c r="O42" t="str">
        <f t="shared" si="15"/>
        <v xml:space="preserve">Promedio de 18. Pastaza - Estáncar </v>
      </c>
      <c r="P42">
        <f t="shared" si="2"/>
        <v>66.291825928653367</v>
      </c>
      <c r="V42" t="str">
        <f t="shared" si="16"/>
        <v xml:space="preserve">Promedio de 20. Sucumbíos - Estáncar </v>
      </c>
      <c r="W42">
        <f t="shared" si="3"/>
        <v>30.228009447273173</v>
      </c>
      <c r="AC42" t="str">
        <f t="shared" si="17"/>
        <v>Promedio de 24. Santo Domingo de los Tsachilas</v>
      </c>
      <c r="AD42">
        <f t="shared" si="4"/>
        <v>69.152632190589912</v>
      </c>
      <c r="AJ42" t="str">
        <f t="shared" si="18"/>
        <v xml:space="preserve">Promedio de 13. Los Ríos - Estándar </v>
      </c>
      <c r="AK42">
        <f t="shared" si="5"/>
        <v>13.657342699191002</v>
      </c>
      <c r="AQ42" t="str">
        <f t="shared" si="19"/>
        <v xml:space="preserve">Promedio de 7. El Oro - Estándar </v>
      </c>
      <c r="AR42">
        <f t="shared" si="6"/>
        <v>31.574120599908483</v>
      </c>
      <c r="AX42" t="str">
        <f t="shared" si="20"/>
        <v xml:space="preserve">Promedio de 13. Los Ríos - Estándar </v>
      </c>
      <c r="AY42">
        <f t="shared" si="7"/>
        <v>49.502485111248056</v>
      </c>
      <c r="BE42" t="str">
        <f t="shared" si="21"/>
        <v xml:space="preserve">Promedio de 3. Cañar - Estándar </v>
      </c>
      <c r="BF42">
        <f t="shared" si="8"/>
        <v>47.99667793666368</v>
      </c>
      <c r="BL42" t="str">
        <f t="shared" si="22"/>
        <v>Promedio de 23. Santa Elena</v>
      </c>
      <c r="BM42">
        <f t="shared" si="9"/>
        <v>44.61295658052579</v>
      </c>
      <c r="BS42" t="str">
        <f t="shared" si="23"/>
        <v xml:space="preserve">Promedio de 22. Zamora Chinchipe - Estándar </v>
      </c>
      <c r="BT42">
        <f t="shared" si="10"/>
        <v>48.396901501347713</v>
      </c>
      <c r="BZ42" t="str">
        <f t="shared" si="24"/>
        <v xml:space="preserve">Promedio de 21. Tungurahua - Estáncar </v>
      </c>
      <c r="CA42">
        <f t="shared" si="11"/>
        <v>41.828880689378742</v>
      </c>
      <c r="CG42" t="str">
        <f t="shared" si="25"/>
        <v xml:space="preserve">Promedio de 18. Pastaza - Estáncar </v>
      </c>
      <c r="CH42">
        <f t="shared" si="12"/>
        <v>50.442985348992707</v>
      </c>
    </row>
    <row r="43" spans="1:86">
      <c r="A43" t="str">
        <f t="shared" si="13"/>
        <v>Promedio de 24. Santo Domingo de los Tsachilas</v>
      </c>
      <c r="B43">
        <f t="shared" si="0"/>
        <v>37.517905217539962</v>
      </c>
      <c r="H43" t="str">
        <f t="shared" si="14"/>
        <v xml:space="preserve">Promedio de 11. Imbabura -Estándar </v>
      </c>
      <c r="I43">
        <f t="shared" si="1"/>
        <v>33.874953162107523</v>
      </c>
      <c r="O43" t="str">
        <f t="shared" si="15"/>
        <v xml:space="preserve">Promedio de 7. El Oro - Estándar </v>
      </c>
      <c r="P43">
        <f t="shared" si="2"/>
        <v>59.466182843310222</v>
      </c>
      <c r="V43" t="str">
        <f t="shared" si="16"/>
        <v xml:space="preserve">Promedio de 17. Francisco de Orellana - Estándar </v>
      </c>
      <c r="W43">
        <f t="shared" si="3"/>
        <v>28.96793209774501</v>
      </c>
      <c r="AC43" t="str">
        <f t="shared" si="17"/>
        <v xml:space="preserve">Promedio de 4. Carchi - Estándar </v>
      </c>
      <c r="AD43">
        <f t="shared" si="4"/>
        <v>69.115480625006995</v>
      </c>
      <c r="AJ43" t="str">
        <f t="shared" si="18"/>
        <v>Promedio de 24. Santo Domingo de los Tsachilas</v>
      </c>
      <c r="AK43">
        <f t="shared" si="5"/>
        <v>13.515419114088415</v>
      </c>
      <c r="AQ43" t="str">
        <f t="shared" si="19"/>
        <v>Promedio de 24. Santo Domingo de los Tsachilas</v>
      </c>
      <c r="AR43">
        <f t="shared" si="6"/>
        <v>30.468269993574669</v>
      </c>
      <c r="AX43" t="str">
        <f t="shared" si="20"/>
        <v>Promedio de 24. Santo Domingo de los Tsachilas</v>
      </c>
      <c r="AY43">
        <f t="shared" si="7"/>
        <v>47.224922189559273</v>
      </c>
      <c r="BE43" t="str">
        <f t="shared" si="21"/>
        <v xml:space="preserve">Promedio de 5. Chimborazo - Estándar </v>
      </c>
      <c r="BF43">
        <f t="shared" si="8"/>
        <v>45.838133721114446</v>
      </c>
      <c r="BL43" t="str">
        <f t="shared" si="22"/>
        <v xml:space="preserve">Promedio de 16. Napo - Estáncar </v>
      </c>
      <c r="BM43">
        <f t="shared" si="9"/>
        <v>42.494807102339834</v>
      </c>
      <c r="BS43" t="str">
        <f t="shared" si="23"/>
        <v xml:space="preserve">Promedio de 2. Bolívar - Estándar </v>
      </c>
      <c r="BT43">
        <f t="shared" si="10"/>
        <v>48.34038082608707</v>
      </c>
      <c r="BZ43" t="str">
        <f t="shared" si="24"/>
        <v xml:space="preserve">Promedio de 22. Zamora Chinchipe - Estándar </v>
      </c>
      <c r="CA43">
        <f t="shared" si="11"/>
        <v>40.504035007032002</v>
      </c>
      <c r="CG43" t="str">
        <f t="shared" si="25"/>
        <v xml:space="preserve">Promedio de 3. Cañar - Estándar </v>
      </c>
      <c r="CH43">
        <f t="shared" si="12"/>
        <v>47.879215920654516</v>
      </c>
    </row>
    <row r="44" spans="1:86">
      <c r="A44" t="str">
        <f t="shared" si="13"/>
        <v xml:space="preserve">Promedio de 3. Cañar - Estándar </v>
      </c>
      <c r="B44">
        <f t="shared" si="0"/>
        <v>37.035914498494733</v>
      </c>
      <c r="H44" t="str">
        <f t="shared" si="14"/>
        <v xml:space="preserve">Promedio de 7. El Oro - Estándar </v>
      </c>
      <c r="I44">
        <f t="shared" si="1"/>
        <v>33.373468683659411</v>
      </c>
      <c r="O44" t="str">
        <f t="shared" si="15"/>
        <v xml:space="preserve">Promedio de 17. Francisco de Orellana - Estándar </v>
      </c>
      <c r="P44">
        <f t="shared" si="2"/>
        <v>56.90917388057315</v>
      </c>
      <c r="V44" t="str">
        <f t="shared" si="16"/>
        <v xml:space="preserve">Promedio de 11. Imbabura -Estándar </v>
      </c>
      <c r="W44">
        <f t="shared" si="3"/>
        <v>25.490606838547297</v>
      </c>
      <c r="AC44" t="str">
        <f t="shared" si="17"/>
        <v xml:space="preserve">Promedio de 2. Bolívar - Estándar </v>
      </c>
      <c r="AD44">
        <f t="shared" si="4"/>
        <v>68.520252219071125</v>
      </c>
      <c r="AJ44" t="str">
        <f t="shared" si="18"/>
        <v xml:space="preserve">Promedio de 4. Carchi - Estándar </v>
      </c>
      <c r="AK44">
        <f t="shared" si="5"/>
        <v>10.523743121815599</v>
      </c>
      <c r="AQ44" t="str">
        <f t="shared" si="19"/>
        <v xml:space="preserve">Promedio de 14. Manabí - Estáncar </v>
      </c>
      <c r="AR44">
        <f t="shared" si="6"/>
        <v>28.737768046720692</v>
      </c>
      <c r="AX44" t="str">
        <f t="shared" si="20"/>
        <v xml:space="preserve">Promedio de 14. Manabí - Estáncar </v>
      </c>
      <c r="AY44">
        <f t="shared" si="7"/>
        <v>46.538154825038639</v>
      </c>
      <c r="BE44" t="str">
        <f t="shared" si="21"/>
        <v xml:space="preserve">Promedio de 18. Pastaza - Estáncar </v>
      </c>
      <c r="BF44">
        <f t="shared" si="8"/>
        <v>43.965655057298569</v>
      </c>
      <c r="BL44" t="str">
        <f t="shared" si="22"/>
        <v xml:space="preserve">Promedio de 3. Cañar - Estándar </v>
      </c>
      <c r="BM44">
        <f t="shared" si="9"/>
        <v>42.124271033701874</v>
      </c>
      <c r="BS44" t="str">
        <f t="shared" si="23"/>
        <v xml:space="preserve">Promedio de 13. Los Ríos - Estándar </v>
      </c>
      <c r="BT44">
        <f t="shared" si="10"/>
        <v>47.560975609756106</v>
      </c>
      <c r="BZ44" t="str">
        <f t="shared" si="24"/>
        <v xml:space="preserve">Promedio de 18. Pastaza - Estáncar </v>
      </c>
      <c r="CA44">
        <f t="shared" si="11"/>
        <v>39.997969817535733</v>
      </c>
      <c r="CG44" t="str">
        <f t="shared" si="25"/>
        <v xml:space="preserve">Promedio de 2. Bolívar - Estándar </v>
      </c>
      <c r="CH44">
        <f t="shared" si="12"/>
        <v>47.084417795590042</v>
      </c>
    </row>
    <row r="45" spans="1:86">
      <c r="A45" t="str">
        <f t="shared" si="13"/>
        <v>Promedio de 23. Santa Elena</v>
      </c>
      <c r="B45">
        <f t="shared" si="0"/>
        <v>36.91048104487264</v>
      </c>
      <c r="H45" t="str">
        <f t="shared" si="14"/>
        <v xml:space="preserve">Promedio de 13. Los Ríos - Estándar </v>
      </c>
      <c r="I45">
        <f t="shared" si="1"/>
        <v>31.952208020044747</v>
      </c>
      <c r="O45" t="str">
        <f t="shared" si="15"/>
        <v xml:space="preserve">Promedio de 21. Tungurahua - Estáncar </v>
      </c>
      <c r="P45">
        <f t="shared" si="2"/>
        <v>53.540284022661254</v>
      </c>
      <c r="V45" t="str">
        <f t="shared" si="16"/>
        <v xml:space="preserve">Promedio de 14. Manabí - Estáncar </v>
      </c>
      <c r="W45">
        <f t="shared" si="3"/>
        <v>24.86448833978141</v>
      </c>
      <c r="AC45" t="str">
        <f t="shared" si="17"/>
        <v xml:space="preserve">Promedio de 5. Chimborazo - Estándar </v>
      </c>
      <c r="AD45">
        <f t="shared" si="4"/>
        <v>64.50152349703842</v>
      </c>
      <c r="AJ45" t="str">
        <f t="shared" si="18"/>
        <v xml:space="preserve">Promedio de 8. Esmeraldas - Estándar </v>
      </c>
      <c r="AK45">
        <f t="shared" si="5"/>
        <v>10.190280142922131</v>
      </c>
      <c r="AQ45" t="str">
        <f t="shared" si="19"/>
        <v xml:space="preserve">Promedio de 6. Cotopaxi - Estándar </v>
      </c>
      <c r="AR45">
        <f t="shared" si="6"/>
        <v>27.086035466728347</v>
      </c>
      <c r="AX45" t="str">
        <f t="shared" si="20"/>
        <v xml:space="preserve">Promedio de 4. Carchi - Estándar </v>
      </c>
      <c r="AY45">
        <f t="shared" si="7"/>
        <v>44.328406783331502</v>
      </c>
      <c r="BE45" t="str">
        <f t="shared" si="21"/>
        <v xml:space="preserve">Promedio de 22. Zamora Chinchipe - Estándar </v>
      </c>
      <c r="BF45">
        <f t="shared" si="8"/>
        <v>43.102987031858511</v>
      </c>
      <c r="BL45" t="str">
        <f t="shared" si="22"/>
        <v>Promedio de 1. Azuay - Estandar</v>
      </c>
      <c r="BM45">
        <f t="shared" si="9"/>
        <v>41.712380330867838</v>
      </c>
      <c r="BS45" t="str">
        <f t="shared" si="23"/>
        <v xml:space="preserve">Promedio de 15. Morona Santiago - Estáncar </v>
      </c>
      <c r="BT45">
        <f t="shared" si="10"/>
        <v>46.453532386813187</v>
      </c>
      <c r="BZ45" t="str">
        <f t="shared" si="24"/>
        <v xml:space="preserve">Promedio de 7. El Oro - Estándar </v>
      </c>
      <c r="CA45">
        <f t="shared" si="11"/>
        <v>39.902236181301127</v>
      </c>
      <c r="CG45" t="str">
        <f t="shared" si="25"/>
        <v xml:space="preserve">Promedio de 4. Carchi - Estándar </v>
      </c>
      <c r="CH45">
        <f t="shared" si="12"/>
        <v>41.555451267933165</v>
      </c>
    </row>
    <row r="46" spans="1:86">
      <c r="A46" t="str">
        <f t="shared" si="13"/>
        <v xml:space="preserve">Promedio de 17. Francisco de Orellana - Estándar </v>
      </c>
      <c r="B46">
        <f t="shared" si="0"/>
        <v>34.92436491844007</v>
      </c>
      <c r="H46" t="str">
        <f t="shared" si="14"/>
        <v xml:space="preserve">Promedio de 3. Cañar - Estándar </v>
      </c>
      <c r="I46">
        <f t="shared" si="1"/>
        <v>31.60417617878689</v>
      </c>
      <c r="O46" t="str">
        <f t="shared" si="15"/>
        <v xml:space="preserve">Promedio de 3. Cañar - Estándar </v>
      </c>
      <c r="P46">
        <f t="shared" si="2"/>
        <v>53.061494826993737</v>
      </c>
      <c r="V46" t="str">
        <f t="shared" si="16"/>
        <v xml:space="preserve">Promedio de 12. Loja - Estándar </v>
      </c>
      <c r="W46">
        <f t="shared" si="3"/>
        <v>23.178255664999831</v>
      </c>
      <c r="AC46" t="str">
        <f t="shared" si="17"/>
        <v xml:space="preserve">Promedio de 14. Manabí - Estáncar </v>
      </c>
      <c r="AD46">
        <f t="shared" si="4"/>
        <v>61.802764809619589</v>
      </c>
      <c r="AJ46" t="str">
        <f t="shared" si="18"/>
        <v>Promedio de 1. Azuay - Estandar</v>
      </c>
      <c r="AK46">
        <f t="shared" si="5"/>
        <v>8.8146405922075974</v>
      </c>
      <c r="AQ46" t="str">
        <f t="shared" si="19"/>
        <v xml:space="preserve">Promedio de 2. Bolívar - Estándar </v>
      </c>
      <c r="AR46">
        <f t="shared" si="6"/>
        <v>22.660080781362709</v>
      </c>
      <c r="AX46" t="str">
        <f t="shared" si="20"/>
        <v xml:space="preserve">Promedio de 3. Cañar - Estándar </v>
      </c>
      <c r="AY46">
        <f t="shared" si="7"/>
        <v>42.961573900316516</v>
      </c>
      <c r="BE46" t="str">
        <f t="shared" si="21"/>
        <v>Promedio de 23. Santa Elena</v>
      </c>
      <c r="BF46">
        <f t="shared" si="8"/>
        <v>42.957353435136831</v>
      </c>
      <c r="BL46" t="str">
        <f t="shared" si="22"/>
        <v xml:space="preserve">Promedio de 5. Chimborazo - Estándar </v>
      </c>
      <c r="BM46">
        <f t="shared" si="9"/>
        <v>39.265736116927734</v>
      </c>
      <c r="BS46" t="str">
        <f t="shared" si="23"/>
        <v xml:space="preserve">Promedio de 10. Guayas - Estándar </v>
      </c>
      <c r="BT46">
        <f t="shared" si="10"/>
        <v>45.870857135991358</v>
      </c>
      <c r="BZ46" t="str">
        <f t="shared" si="24"/>
        <v xml:space="preserve">Promedio de 13. Los Ríos - Estándar </v>
      </c>
      <c r="CA46">
        <f t="shared" si="11"/>
        <v>38.538321374367811</v>
      </c>
      <c r="CG46" t="str">
        <f t="shared" si="25"/>
        <v xml:space="preserve">Promedio de 22. Zamora Chinchipe - Estándar </v>
      </c>
      <c r="CH46">
        <f t="shared" si="12"/>
        <v>33.433390860097987</v>
      </c>
    </row>
    <row r="47" spans="1:86">
      <c r="A47" t="str">
        <f t="shared" si="13"/>
        <v xml:space="preserve">Promedio de 6. Cotopaxi - Estándar </v>
      </c>
      <c r="B47">
        <f t="shared" si="0"/>
        <v>33.535411479801716</v>
      </c>
      <c r="H47" t="str">
        <f t="shared" si="14"/>
        <v xml:space="preserve">Promedio de 20. Sucumbíos - Estáncar </v>
      </c>
      <c r="I47">
        <f t="shared" si="1"/>
        <v>31.336607626209496</v>
      </c>
      <c r="O47" t="str">
        <f t="shared" si="15"/>
        <v xml:space="preserve">Promedio de 19. Pichincha - Estándar </v>
      </c>
      <c r="P47">
        <f t="shared" si="2"/>
        <v>52.116710647134788</v>
      </c>
      <c r="V47" t="str">
        <f t="shared" si="16"/>
        <v xml:space="preserve">Promedio de 6. Cotopaxi - Estándar </v>
      </c>
      <c r="W47">
        <f t="shared" si="3"/>
        <v>23.130795732182285</v>
      </c>
      <c r="AC47" t="str">
        <f t="shared" si="17"/>
        <v xml:space="preserve">Promedio de 12. Loja - Estándar </v>
      </c>
      <c r="AD47">
        <f t="shared" si="4"/>
        <v>60.977044891808504</v>
      </c>
      <c r="AJ47" t="str">
        <f t="shared" si="18"/>
        <v>Promedio de 23. Santa Elena</v>
      </c>
      <c r="AK47">
        <f t="shared" si="5"/>
        <v>8.8144343799153848</v>
      </c>
      <c r="AQ47" t="str">
        <f t="shared" si="19"/>
        <v xml:space="preserve">Promedio de 13. Los Ríos - Estándar </v>
      </c>
      <c r="AR47">
        <f t="shared" si="6"/>
        <v>22.647380652831458</v>
      </c>
      <c r="AX47" t="str">
        <f t="shared" si="20"/>
        <v>Promedio de 23. Santa Elena</v>
      </c>
      <c r="AY47">
        <f t="shared" si="7"/>
        <v>41.385632463826795</v>
      </c>
      <c r="BE47" t="str">
        <f t="shared" si="21"/>
        <v xml:space="preserve">Promedio de 13. Los Ríos - Estándar </v>
      </c>
      <c r="BF47">
        <f t="shared" si="8"/>
        <v>40.471535582048411</v>
      </c>
      <c r="BL47" t="str">
        <f t="shared" si="22"/>
        <v xml:space="preserve">Promedio de 18. Pastaza - Estáncar </v>
      </c>
      <c r="BM47">
        <f t="shared" si="9"/>
        <v>38.246963807877812</v>
      </c>
      <c r="BS47" t="str">
        <f t="shared" si="23"/>
        <v xml:space="preserve">Promedio de 20. Sucumbíos - Estáncar </v>
      </c>
      <c r="BT47">
        <f t="shared" si="10"/>
        <v>44.846090712618221</v>
      </c>
      <c r="BZ47" t="str">
        <f t="shared" si="24"/>
        <v xml:space="preserve">Promedio de 5. Chimborazo - Estándar </v>
      </c>
      <c r="CA47">
        <f t="shared" si="11"/>
        <v>37.052583144122679</v>
      </c>
      <c r="CG47" t="str">
        <f t="shared" si="25"/>
        <v xml:space="preserve">Promedio de 6. Cotopaxi - Estándar </v>
      </c>
      <c r="CH47">
        <f t="shared" si="12"/>
        <v>32.806599334436498</v>
      </c>
    </row>
    <row r="48" spans="1:86">
      <c r="A48" t="str">
        <f t="shared" si="13"/>
        <v xml:space="preserve">Promedio de 13. Los Ríos - Estándar </v>
      </c>
      <c r="B48">
        <f t="shared" si="0"/>
        <v>33.245641445502997</v>
      </c>
      <c r="H48" t="str">
        <f t="shared" si="14"/>
        <v>Promedio de 24. Santo Domingo de los Tsachilas</v>
      </c>
      <c r="I48">
        <f t="shared" si="1"/>
        <v>22.919239862557557</v>
      </c>
      <c r="O48" t="str">
        <f t="shared" si="15"/>
        <v xml:space="preserve">Promedio de 22. Zamora Chinchipe - Estándar </v>
      </c>
      <c r="P48">
        <f t="shared" si="2"/>
        <v>51.225804293993818</v>
      </c>
      <c r="V48" t="str">
        <f t="shared" si="16"/>
        <v xml:space="preserve">Promedio de 8. Esmeraldas - Estándar </v>
      </c>
      <c r="W48">
        <f t="shared" si="3"/>
        <v>22.94850132267791</v>
      </c>
      <c r="AC48" t="str">
        <f t="shared" si="17"/>
        <v>Promedio de 23. Santa Elena</v>
      </c>
      <c r="AD48">
        <f t="shared" si="4"/>
        <v>60.752919907547295</v>
      </c>
      <c r="AJ48" t="str">
        <f t="shared" si="18"/>
        <v xml:space="preserve">Promedio de 21. Tungurahua - Estáncar </v>
      </c>
      <c r="AK48">
        <f t="shared" si="5"/>
        <v>7.4656093449264995</v>
      </c>
      <c r="AQ48" t="str">
        <f t="shared" si="19"/>
        <v xml:space="preserve">Promedio de 5. Chimborazo - Estándar </v>
      </c>
      <c r="AR48">
        <f t="shared" si="6"/>
        <v>21.753220918093671</v>
      </c>
      <c r="AX48" t="str">
        <f t="shared" si="20"/>
        <v xml:space="preserve">Promedio de 8. Esmeraldas - Estándar </v>
      </c>
      <c r="AY48">
        <f t="shared" si="7"/>
        <v>38.985044325261768</v>
      </c>
      <c r="BE48" t="str">
        <f t="shared" si="21"/>
        <v xml:space="preserve">Promedio de 17. Francisco de Orellana - Estándar </v>
      </c>
      <c r="BF48">
        <f t="shared" si="8"/>
        <v>40.223611462571299</v>
      </c>
      <c r="BL48" t="str">
        <f t="shared" si="22"/>
        <v xml:space="preserve">Promedio de 21. Tungurahua - Estáncar </v>
      </c>
      <c r="BM48">
        <f t="shared" si="9"/>
        <v>37.184862952778509</v>
      </c>
      <c r="BS48" t="str">
        <f t="shared" si="23"/>
        <v xml:space="preserve">Promedio de 21. Tungurahua - Estáncar </v>
      </c>
      <c r="BT48">
        <f t="shared" si="10"/>
        <v>43.541227854711167</v>
      </c>
      <c r="BZ48" t="str">
        <f t="shared" si="24"/>
        <v xml:space="preserve">Promedio de 19. Pichincha - Estándar </v>
      </c>
      <c r="CA48">
        <f t="shared" si="11"/>
        <v>34.958992205532411</v>
      </c>
      <c r="CG48" t="str">
        <f t="shared" si="25"/>
        <v xml:space="preserve">Promedio de 10. Guayas - Estándar </v>
      </c>
      <c r="CH48">
        <f t="shared" si="12"/>
        <v>32.450079127539574</v>
      </c>
    </row>
    <row r="49" spans="1:86">
      <c r="A49" t="str">
        <f t="shared" si="13"/>
        <v xml:space="preserve">Promedio de 14. Manabí - Estáncar </v>
      </c>
      <c r="B49">
        <f t="shared" si="0"/>
        <v>32.970579145267791</v>
      </c>
      <c r="H49" t="str">
        <f t="shared" si="14"/>
        <v xml:space="preserve">Promedio de 18. Pastaza - Estáncar </v>
      </c>
      <c r="I49">
        <f t="shared" si="1"/>
        <v>22.036400969299923</v>
      </c>
      <c r="O49" t="str">
        <f t="shared" si="15"/>
        <v xml:space="preserve">Promedio de 14. Manabí - Estáncar </v>
      </c>
      <c r="P49">
        <f t="shared" si="2"/>
        <v>50.544617501190992</v>
      </c>
      <c r="V49" t="str">
        <f t="shared" si="16"/>
        <v>Promedio de 23. Santa Elena</v>
      </c>
      <c r="W49">
        <f t="shared" si="3"/>
        <v>22.878012383459886</v>
      </c>
      <c r="AC49" t="str">
        <f t="shared" si="17"/>
        <v xml:space="preserve">Promedio de 13. Los Ríos - Estándar </v>
      </c>
      <c r="AD49">
        <f t="shared" si="4"/>
        <v>57.036263076967685</v>
      </c>
      <c r="AJ49" t="str">
        <f t="shared" si="18"/>
        <v xml:space="preserve">Promedio de 16. Napo - Estáncar </v>
      </c>
      <c r="AK49">
        <f t="shared" si="5"/>
        <v>3.8301203656502691</v>
      </c>
      <c r="AQ49" t="str">
        <f t="shared" si="19"/>
        <v xml:space="preserve">Promedio de 3. Cañar - Estándar </v>
      </c>
      <c r="AR49">
        <f t="shared" si="6"/>
        <v>21.211828446529225</v>
      </c>
      <c r="AX49" t="str">
        <f t="shared" si="20"/>
        <v xml:space="preserve">Promedio de 16. Napo - Estáncar </v>
      </c>
      <c r="AY49">
        <f t="shared" si="7"/>
        <v>38.461139620731529</v>
      </c>
      <c r="BE49" t="str">
        <f t="shared" si="21"/>
        <v xml:space="preserve">Promedio de 14. Manabí - Estáncar </v>
      </c>
      <c r="BF49">
        <f t="shared" si="8"/>
        <v>37.120239027259231</v>
      </c>
      <c r="BL49" t="str">
        <f t="shared" si="22"/>
        <v xml:space="preserve">Promedio de 10. Guayas - Estándar </v>
      </c>
      <c r="BM49">
        <f t="shared" si="9"/>
        <v>32.590112305645057</v>
      </c>
      <c r="BS49" t="str">
        <f t="shared" si="23"/>
        <v xml:space="preserve">Promedio de 19. Pichincha - Estándar </v>
      </c>
      <c r="BT49">
        <f t="shared" si="10"/>
        <v>42.959669561547855</v>
      </c>
      <c r="BZ49" t="str">
        <f t="shared" si="24"/>
        <v xml:space="preserve">Promedio de 16. Napo - Estáncar </v>
      </c>
      <c r="CA49">
        <f t="shared" si="11"/>
        <v>28.925593958837499</v>
      </c>
      <c r="CG49" t="str">
        <f t="shared" si="25"/>
        <v xml:space="preserve">Promedio de 7. El Oro - Estándar </v>
      </c>
      <c r="CH49">
        <f t="shared" si="12"/>
        <v>28.402203560057021</v>
      </c>
    </row>
    <row r="50" spans="1:86">
      <c r="A50" t="str">
        <f t="shared" si="13"/>
        <v xml:space="preserve">Promedio de 4. Carchi - Estándar </v>
      </c>
      <c r="B50">
        <f t="shared" si="0"/>
        <v>32.836503438944057</v>
      </c>
      <c r="H50" t="str">
        <f t="shared" si="14"/>
        <v xml:space="preserve">Promedio de 15. Morona Santiago - Estáncar </v>
      </c>
      <c r="I50">
        <f t="shared" si="1"/>
        <v>21.137930110404461</v>
      </c>
      <c r="O50" t="str">
        <f t="shared" si="15"/>
        <v xml:space="preserve">Promedio de 4. Carchi - Estándar </v>
      </c>
      <c r="P50">
        <f t="shared" si="2"/>
        <v>48.039440287868018</v>
      </c>
      <c r="V50" t="str">
        <f t="shared" si="16"/>
        <v xml:space="preserve">Promedio de 5. Chimborazo - Estándar </v>
      </c>
      <c r="W50">
        <f t="shared" si="3"/>
        <v>21.358314866380166</v>
      </c>
      <c r="AC50" t="str">
        <f t="shared" si="17"/>
        <v xml:space="preserve">Promedio de 6. Cotopaxi - Estándar </v>
      </c>
      <c r="AD50">
        <f t="shared" si="4"/>
        <v>53.418521852718634</v>
      </c>
      <c r="AJ50" t="str">
        <f t="shared" si="18"/>
        <v xml:space="preserve">Promedio de 3. Cañar - Estándar </v>
      </c>
      <c r="AK50">
        <f t="shared" si="5"/>
        <v>3.1141087396037648</v>
      </c>
      <c r="AQ50" t="str">
        <f t="shared" si="19"/>
        <v xml:space="preserve">Promedio de 18. Pastaza - Estáncar </v>
      </c>
      <c r="AR50">
        <f t="shared" si="6"/>
        <v>21.144117119493924</v>
      </c>
      <c r="AX50" t="str">
        <f t="shared" si="20"/>
        <v xml:space="preserve">Promedio de 6. Cotopaxi - Estándar </v>
      </c>
      <c r="AY50">
        <f t="shared" si="7"/>
        <v>38.218470724354745</v>
      </c>
      <c r="BE50" t="str">
        <f t="shared" si="21"/>
        <v xml:space="preserve">Promedio de 15. Morona Santiago - Estáncar </v>
      </c>
      <c r="BF50">
        <f t="shared" si="8"/>
        <v>36.471901139980915</v>
      </c>
      <c r="BL50" t="str">
        <f t="shared" si="22"/>
        <v xml:space="preserve">Promedio de 20. Sucumbíos - Estáncar </v>
      </c>
      <c r="BM50">
        <f t="shared" si="9"/>
        <v>31.662392199583806</v>
      </c>
      <c r="BS50" t="str">
        <f t="shared" si="23"/>
        <v>Promedio de 23. Santa Elena</v>
      </c>
      <c r="BT50">
        <f t="shared" si="10"/>
        <v>42.653623895217486</v>
      </c>
      <c r="BZ50" t="str">
        <f t="shared" si="24"/>
        <v xml:space="preserve">Promedio de 2. Bolívar - Estándar </v>
      </c>
      <c r="CA50">
        <f t="shared" si="11"/>
        <v>28.042750124673237</v>
      </c>
      <c r="CG50" t="str">
        <f t="shared" si="25"/>
        <v>Promedio de 24. Santo Domingo de los Tsachilas</v>
      </c>
      <c r="CH50">
        <f t="shared" si="12"/>
        <v>28.096174138035718</v>
      </c>
    </row>
    <row r="51" spans="1:86">
      <c r="A51" t="str">
        <f t="shared" si="13"/>
        <v xml:space="preserve">Promedio de 18. Pastaza - Estáncar </v>
      </c>
      <c r="B51">
        <f t="shared" si="0"/>
        <v>32.283747587922981</v>
      </c>
      <c r="H51" t="str">
        <f t="shared" si="14"/>
        <v xml:space="preserve">Promedio de 6. Cotopaxi - Estándar </v>
      </c>
      <c r="I51">
        <f t="shared" si="1"/>
        <v>20.678046491906287</v>
      </c>
      <c r="O51" t="str">
        <f t="shared" si="15"/>
        <v xml:space="preserve">Promedio de 11. Imbabura -Estándar </v>
      </c>
      <c r="P51">
        <f t="shared" si="2"/>
        <v>47.057393937763777</v>
      </c>
      <c r="V51" t="str">
        <f t="shared" si="16"/>
        <v xml:space="preserve">Promedio de 13. Los Ríos - Estándar </v>
      </c>
      <c r="W51">
        <f t="shared" si="3"/>
        <v>20.953204116658611</v>
      </c>
      <c r="AC51" t="str">
        <f t="shared" si="17"/>
        <v xml:space="preserve">Promedio de 8. Esmeraldas - Estándar </v>
      </c>
      <c r="AD51">
        <f t="shared" si="4"/>
        <v>52.402139878535955</v>
      </c>
      <c r="AJ51" t="str">
        <f t="shared" si="18"/>
        <v xml:space="preserve">Promedio de 2. Bolívar - Estándar </v>
      </c>
      <c r="AK51">
        <f t="shared" si="5"/>
        <v>2.8835177536475167</v>
      </c>
      <c r="AQ51" t="str">
        <f t="shared" si="19"/>
        <v xml:space="preserve">Promedio de 4. Carchi - Estándar </v>
      </c>
      <c r="AR51">
        <f t="shared" si="6"/>
        <v>20.209009355427533</v>
      </c>
      <c r="AX51" t="str">
        <f t="shared" si="20"/>
        <v xml:space="preserve">Promedio de 12. Loja - Estándar </v>
      </c>
      <c r="AY51">
        <f t="shared" si="7"/>
        <v>36.835522653354914</v>
      </c>
      <c r="BE51" t="str">
        <f t="shared" si="21"/>
        <v xml:space="preserve">Promedio de 8. Esmeraldas - Estándar </v>
      </c>
      <c r="BF51">
        <f t="shared" si="8"/>
        <v>35.449770046105137</v>
      </c>
      <c r="BL51" t="str">
        <f t="shared" si="22"/>
        <v xml:space="preserve">Promedio de 4. Carchi - Estándar </v>
      </c>
      <c r="BM51">
        <f t="shared" si="9"/>
        <v>30.969163589978894</v>
      </c>
      <c r="BS51" t="str">
        <f t="shared" si="23"/>
        <v xml:space="preserve">Promedio de 11. Imbabura -Estándar </v>
      </c>
      <c r="BT51">
        <f t="shared" si="10"/>
        <v>42.457665346413563</v>
      </c>
      <c r="BZ51" t="str">
        <f t="shared" si="24"/>
        <v>Promedio de 1. Azuay - Estandar</v>
      </c>
      <c r="CA51">
        <f t="shared" si="11"/>
        <v>24.187850384777683</v>
      </c>
      <c r="CG51" t="str">
        <f t="shared" si="25"/>
        <v xml:space="preserve">Promedio de 16. Napo - Estáncar </v>
      </c>
      <c r="CH51">
        <f t="shared" si="12"/>
        <v>27.560086466229233</v>
      </c>
    </row>
    <row r="52" spans="1:86">
      <c r="A52" t="str">
        <f t="shared" si="13"/>
        <v xml:space="preserve">Promedio de 12. Loja - Estándar </v>
      </c>
      <c r="B52">
        <f t="shared" si="0"/>
        <v>31.277639438007913</v>
      </c>
      <c r="H52" t="str">
        <f t="shared" si="14"/>
        <v xml:space="preserve">Promedio de 12. Loja - Estándar </v>
      </c>
      <c r="I52">
        <f t="shared" si="1"/>
        <v>20.138577731280769</v>
      </c>
      <c r="O52" t="str">
        <f t="shared" si="15"/>
        <v>Promedio de 23. Santa Elena</v>
      </c>
      <c r="P52">
        <f t="shared" si="2"/>
        <v>46.530658609027512</v>
      </c>
      <c r="V52" t="str">
        <f t="shared" si="16"/>
        <v xml:space="preserve">Promedio de 4. Carchi - Estándar </v>
      </c>
      <c r="W52">
        <f t="shared" si="3"/>
        <v>16.508315152899154</v>
      </c>
      <c r="AC52" t="str">
        <f t="shared" si="17"/>
        <v xml:space="preserve">Promedio de 18. Pastaza - Estáncar </v>
      </c>
      <c r="AD52">
        <f t="shared" si="4"/>
        <v>45.182755115161413</v>
      </c>
      <c r="AJ52" t="str">
        <f t="shared" si="18"/>
        <v xml:space="preserve">Promedio de 5. Chimborazo - Estándar </v>
      </c>
      <c r="AK52">
        <f t="shared" si="5"/>
        <v>2.5351655229673349</v>
      </c>
      <c r="AQ52" t="str">
        <f t="shared" si="19"/>
        <v xml:space="preserve">Promedio de 17. Francisco de Orellana - Estándar </v>
      </c>
      <c r="AR52">
        <f t="shared" si="6"/>
        <v>20.116634877435551</v>
      </c>
      <c r="AX52" t="str">
        <f t="shared" si="20"/>
        <v xml:space="preserve">Promedio de 5. Chimborazo - Estándar </v>
      </c>
      <c r="AY52">
        <f t="shared" si="7"/>
        <v>34.425971277742477</v>
      </c>
      <c r="BE52" t="str">
        <f t="shared" si="21"/>
        <v xml:space="preserve">Promedio de 2. Bolívar - Estándar </v>
      </c>
      <c r="BF52">
        <f t="shared" si="8"/>
        <v>34.38189172447467</v>
      </c>
      <c r="BL52" t="str">
        <f t="shared" si="22"/>
        <v>Promedio de 24. Santo Domingo de los Tsachilas</v>
      </c>
      <c r="BM52">
        <f t="shared" si="9"/>
        <v>29.454344105000935</v>
      </c>
      <c r="BS52" t="str">
        <f t="shared" si="23"/>
        <v xml:space="preserve">Promedio de 4. Carchi - Estándar </v>
      </c>
      <c r="BT52">
        <f t="shared" si="10"/>
        <v>41.02729930869571</v>
      </c>
      <c r="BZ52" t="str">
        <f t="shared" si="24"/>
        <v xml:space="preserve">Promedio de 20. Sucumbíos - Estáncar </v>
      </c>
      <c r="CA52">
        <f t="shared" si="11"/>
        <v>21.482916757676225</v>
      </c>
      <c r="CG52" t="str">
        <f t="shared" si="25"/>
        <v xml:space="preserve">Promedio de 14. Manabí - Estáncar </v>
      </c>
      <c r="CH52">
        <f t="shared" si="12"/>
        <v>24.856829692083213</v>
      </c>
    </row>
    <row r="53" spans="1:86">
      <c r="A53" t="str">
        <f t="shared" si="13"/>
        <v xml:space="preserve">Promedio de 2. Bolívar - Estándar </v>
      </c>
      <c r="B53">
        <f t="shared" si="0"/>
        <v>29.717243833219836</v>
      </c>
      <c r="H53" t="str">
        <f t="shared" si="14"/>
        <v xml:space="preserve">Promedio de 8. Esmeraldas - Estándar </v>
      </c>
      <c r="I53">
        <f t="shared" si="1"/>
        <v>20.039651156458525</v>
      </c>
      <c r="O53" t="str">
        <f t="shared" si="15"/>
        <v xml:space="preserve">Promedio de 16. Napo - Estáncar </v>
      </c>
      <c r="P53">
        <f t="shared" si="2"/>
        <v>46.328498411071408</v>
      </c>
      <c r="V53" t="str">
        <f t="shared" si="16"/>
        <v xml:space="preserve">Promedio de 18. Pastaza - Estáncar </v>
      </c>
      <c r="W53">
        <f t="shared" si="3"/>
        <v>15.065458459918075</v>
      </c>
      <c r="AC53" t="str">
        <f t="shared" si="17"/>
        <v xml:space="preserve">Promedio de 16. Napo - Estáncar </v>
      </c>
      <c r="AD53">
        <f t="shared" si="4"/>
        <v>45.092046531236313</v>
      </c>
      <c r="AJ53" t="str">
        <f t="shared" si="18"/>
        <v xml:space="preserve">Promedio de 18. Pastaza - Estáncar </v>
      </c>
      <c r="AK53">
        <f t="shared" si="5"/>
        <v>1.3552522661752147</v>
      </c>
      <c r="AQ53" t="str">
        <f t="shared" si="19"/>
        <v xml:space="preserve">Promedio de 12. Loja - Estándar </v>
      </c>
      <c r="AR53">
        <f t="shared" si="6"/>
        <v>19.596099345560066</v>
      </c>
      <c r="AX53" t="str">
        <f t="shared" si="20"/>
        <v xml:space="preserve">Promedio de 2. Bolívar - Estándar </v>
      </c>
      <c r="AY53">
        <f t="shared" si="7"/>
        <v>32.901394509232354</v>
      </c>
      <c r="BE53" t="str">
        <f t="shared" si="21"/>
        <v>Promedio de 24. Santo Domingo de los Tsachilas</v>
      </c>
      <c r="BF53">
        <f t="shared" si="8"/>
        <v>34.08846794997045</v>
      </c>
      <c r="BL53" t="str">
        <f t="shared" si="22"/>
        <v xml:space="preserve">Promedio de 13. Los Ríos - Estándar </v>
      </c>
      <c r="BM53">
        <f t="shared" si="9"/>
        <v>29.25511159734895</v>
      </c>
      <c r="BS53" t="str">
        <f t="shared" si="23"/>
        <v xml:space="preserve">Promedio de 5. Chimborazo - Estándar </v>
      </c>
      <c r="BT53">
        <f t="shared" si="10"/>
        <v>40.44942862404671</v>
      </c>
      <c r="BZ53" t="str">
        <f t="shared" si="24"/>
        <v xml:space="preserve">Promedio de 12. Loja - Estándar </v>
      </c>
      <c r="CA53">
        <f t="shared" si="11"/>
        <v>19.848526100904159</v>
      </c>
      <c r="CG53" t="str">
        <f t="shared" si="25"/>
        <v xml:space="preserve">Promedio de 13. Los Ríos - Estándar </v>
      </c>
      <c r="CH53">
        <f t="shared" si="12"/>
        <v>23.265695665793974</v>
      </c>
    </row>
    <row r="54" spans="1:86">
      <c r="A54" t="str">
        <f t="shared" si="13"/>
        <v xml:space="preserve">Promedio de 15. Morona Santiago - Estáncar </v>
      </c>
      <c r="B54">
        <f t="shared" si="0"/>
        <v>29.533706627347545</v>
      </c>
      <c r="H54" t="str">
        <f t="shared" si="14"/>
        <v xml:space="preserve">Promedio de 14. Manabí - Estáncar </v>
      </c>
      <c r="I54">
        <f t="shared" si="1"/>
        <v>19.0282919812215</v>
      </c>
      <c r="O54" t="str">
        <f t="shared" si="15"/>
        <v xml:space="preserve">Promedio de 12. Loja - Estándar </v>
      </c>
      <c r="P54">
        <f t="shared" si="2"/>
        <v>42.825466440078465</v>
      </c>
      <c r="V54" t="str">
        <f t="shared" si="16"/>
        <v xml:space="preserve">Promedio de 3. Cañar - Estándar </v>
      </c>
      <c r="W54">
        <f t="shared" si="3"/>
        <v>15.051379258329195</v>
      </c>
      <c r="AC54" t="str">
        <f t="shared" si="17"/>
        <v xml:space="preserve">Promedio de 22. Zamora Chinchipe - Estándar </v>
      </c>
      <c r="AD54">
        <f t="shared" si="4"/>
        <v>45.001998082064418</v>
      </c>
      <c r="AJ54" t="str">
        <f t="shared" si="18"/>
        <v xml:space="preserve">Promedio de 15. Morona Santiago - Estáncar </v>
      </c>
      <c r="AK54">
        <f t="shared" si="5"/>
        <v>0.99590557908401012</v>
      </c>
      <c r="AQ54" t="str">
        <f t="shared" si="19"/>
        <v xml:space="preserve">Promedio de 20. Sucumbíos - Estáncar </v>
      </c>
      <c r="AR54">
        <f t="shared" si="6"/>
        <v>19.341171382457276</v>
      </c>
      <c r="AX54" t="str">
        <f t="shared" si="20"/>
        <v xml:space="preserve">Promedio de 18. Pastaza - Estáncar </v>
      </c>
      <c r="AY54">
        <f t="shared" si="7"/>
        <v>29.597979280859889</v>
      </c>
      <c r="BE54" t="str">
        <f t="shared" si="21"/>
        <v xml:space="preserve">Promedio de 16. Napo - Estáncar </v>
      </c>
      <c r="BF54">
        <f t="shared" si="8"/>
        <v>33.860137384586366</v>
      </c>
      <c r="BL54" t="str">
        <f t="shared" si="22"/>
        <v xml:space="preserve">Promedio de 12. Loja - Estándar </v>
      </c>
      <c r="BM54">
        <f t="shared" si="9"/>
        <v>28.386724855994412</v>
      </c>
      <c r="BS54" t="str">
        <f t="shared" si="23"/>
        <v xml:space="preserve">Promedio de 7. El Oro - Estándar </v>
      </c>
      <c r="BT54">
        <f t="shared" si="10"/>
        <v>39.985356071638442</v>
      </c>
      <c r="BZ54" t="str">
        <f t="shared" si="24"/>
        <v xml:space="preserve">Promedio de 6. Cotopaxi - Estándar </v>
      </c>
      <c r="CA54">
        <f t="shared" si="11"/>
        <v>15.988962741411985</v>
      </c>
      <c r="CG54" t="str">
        <f t="shared" si="25"/>
        <v xml:space="preserve">Promedio de 8. Esmeraldas - Estándar </v>
      </c>
      <c r="CH54">
        <f t="shared" si="12"/>
        <v>15.627820967938694</v>
      </c>
    </row>
    <row r="55" spans="1:86">
      <c r="A55" t="str">
        <f t="shared" si="13"/>
        <v xml:space="preserve">Promedio de 8. Esmeraldas - Estándar </v>
      </c>
      <c r="B55">
        <f t="shared" si="0"/>
        <v>27.421869204610715</v>
      </c>
      <c r="H55" t="str">
        <f t="shared" si="14"/>
        <v xml:space="preserve">Promedio de 4. Carchi - Estándar </v>
      </c>
      <c r="I55">
        <f t="shared" si="1"/>
        <v>15.945527691485792</v>
      </c>
      <c r="O55" t="str">
        <f t="shared" si="15"/>
        <v xml:space="preserve">Promedio de 20. Sucumbíos - Estáncar </v>
      </c>
      <c r="P55">
        <f t="shared" si="2"/>
        <v>40.498723199875855</v>
      </c>
      <c r="V55" t="str">
        <f t="shared" si="16"/>
        <v xml:space="preserve">Promedio de 15. Morona Santiago - Estáncar </v>
      </c>
      <c r="W55">
        <f t="shared" si="3"/>
        <v>14.086170050435873</v>
      </c>
      <c r="AC55" t="str">
        <f t="shared" si="17"/>
        <v xml:space="preserve">Promedio de 15. Morona Santiago - Estáncar </v>
      </c>
      <c r="AD55">
        <f t="shared" si="4"/>
        <v>44.759978409603498</v>
      </c>
      <c r="AJ55" t="str">
        <f t="shared" si="18"/>
        <v xml:space="preserve">Promedio de 17. Francisco de Orellana - Estándar </v>
      </c>
      <c r="AK55">
        <f t="shared" si="5"/>
        <v>0.43359124897529111</v>
      </c>
      <c r="AQ55" t="str">
        <f t="shared" si="19"/>
        <v xml:space="preserve">Promedio de 8. Esmeraldas - Estándar </v>
      </c>
      <c r="AR55">
        <f t="shared" si="6"/>
        <v>16.916211578868687</v>
      </c>
      <c r="AX55" t="str">
        <f t="shared" si="20"/>
        <v xml:space="preserve">Promedio de 20. Sucumbíos - Estáncar </v>
      </c>
      <c r="AY55">
        <f t="shared" si="7"/>
        <v>29.106213342620517</v>
      </c>
      <c r="BE55" t="str">
        <f t="shared" si="21"/>
        <v xml:space="preserve">Promedio de 10. Guayas - Estándar </v>
      </c>
      <c r="BF55">
        <f t="shared" si="8"/>
        <v>32.868514748600631</v>
      </c>
      <c r="BL55" t="str">
        <f t="shared" si="22"/>
        <v xml:space="preserve">Promedio de 6. Cotopaxi - Estándar </v>
      </c>
      <c r="BM55">
        <f t="shared" si="9"/>
        <v>22.791524109681667</v>
      </c>
      <c r="BS55" t="str">
        <f t="shared" si="23"/>
        <v>Promedio de 1. Azuay - Estandar</v>
      </c>
      <c r="BT55">
        <f t="shared" si="10"/>
        <v>36.781054277739024</v>
      </c>
      <c r="BZ55" t="str">
        <f t="shared" si="24"/>
        <v>Promedio de 24. Santo Domingo de los Tsachilas</v>
      </c>
      <c r="CA55">
        <f t="shared" si="11"/>
        <v>12.121947610419717</v>
      </c>
      <c r="CG55" t="str">
        <f t="shared" si="25"/>
        <v>Promedio de 23. Santa Elena</v>
      </c>
      <c r="CH55">
        <f t="shared" si="12"/>
        <v>15.241720355645466</v>
      </c>
    </row>
    <row r="56" spans="1:86">
      <c r="A56" t="str">
        <f t="shared" si="13"/>
        <v xml:space="preserve">Promedio de 22. Zamora Chinchipe - Estándar </v>
      </c>
      <c r="B56">
        <f t="shared" si="0"/>
        <v>27.051243784685575</v>
      </c>
      <c r="H56" t="str">
        <f t="shared" si="14"/>
        <v xml:space="preserve">Promedio de 16. Napo - Estáncar </v>
      </c>
      <c r="I56">
        <f t="shared" si="1"/>
        <v>15.298410083637878</v>
      </c>
      <c r="O56" t="str">
        <f t="shared" si="15"/>
        <v xml:space="preserve">Promedio de 8. Esmeraldas - Estándar </v>
      </c>
      <c r="P56">
        <f t="shared" si="2"/>
        <v>37.615748605438512</v>
      </c>
      <c r="V56" t="str">
        <f t="shared" si="16"/>
        <v xml:space="preserve">Promedio de 22. Zamora Chinchipe - Estándar </v>
      </c>
      <c r="W56">
        <f t="shared" si="3"/>
        <v>10.866953270392713</v>
      </c>
      <c r="AC56" t="str">
        <f t="shared" si="17"/>
        <v xml:space="preserve">Promedio de 20. Sucumbíos - Estáncar </v>
      </c>
      <c r="AD56">
        <f t="shared" si="4"/>
        <v>41.781858215559325</v>
      </c>
      <c r="AJ56" t="str">
        <f t="shared" si="18"/>
        <v xml:space="preserve">Promedio de 22. Zamora Chinchipe - Estándar </v>
      </c>
      <c r="AK56">
        <f t="shared" si="5"/>
        <v>0.22699023351282843</v>
      </c>
      <c r="AQ56" t="str">
        <f t="shared" si="19"/>
        <v xml:space="preserve">Promedio de 15. Morona Santiago - Estáncar </v>
      </c>
      <c r="AR56">
        <f t="shared" si="6"/>
        <v>16.445318224507808</v>
      </c>
      <c r="AX56" t="str">
        <f t="shared" si="20"/>
        <v xml:space="preserve">Promedio de 22. Zamora Chinchipe - Estándar </v>
      </c>
      <c r="AY56">
        <f t="shared" si="7"/>
        <v>28.602870806674787</v>
      </c>
      <c r="BE56" t="str">
        <f t="shared" si="21"/>
        <v xml:space="preserve">Promedio de 4. Carchi - Estándar </v>
      </c>
      <c r="BF56">
        <f t="shared" si="8"/>
        <v>29.354278162958181</v>
      </c>
      <c r="BL56" t="str">
        <f t="shared" si="22"/>
        <v xml:space="preserve">Promedio de 14. Manabí - Estáncar </v>
      </c>
      <c r="BM56">
        <f t="shared" si="9"/>
        <v>21.122436683727681</v>
      </c>
      <c r="BS56" t="str">
        <f t="shared" si="23"/>
        <v xml:space="preserve">Promedio de 3. Cañar - Estándar </v>
      </c>
      <c r="BT56">
        <f t="shared" si="10"/>
        <v>36.710184920092637</v>
      </c>
      <c r="BZ56" t="str">
        <f t="shared" si="24"/>
        <v xml:space="preserve">Promedio de 8. Esmeraldas - Estándar </v>
      </c>
      <c r="CA56">
        <f t="shared" si="11"/>
        <v>10.277264663899899</v>
      </c>
      <c r="CG56" t="str">
        <f t="shared" si="25"/>
        <v xml:space="preserve">Promedio de 15. Morona Santiago - Estáncar </v>
      </c>
      <c r="CH56">
        <f t="shared" si="12"/>
        <v>12.320977792866357</v>
      </c>
    </row>
    <row r="57" spans="1:86">
      <c r="A57" t="str">
        <f t="shared" si="13"/>
        <v xml:space="preserve">Promedio de 20. Sucumbíos - Estáncar </v>
      </c>
      <c r="B57">
        <f t="shared" si="0"/>
        <v>26.989129578455895</v>
      </c>
      <c r="H57" t="str">
        <f t="shared" si="14"/>
        <v xml:space="preserve">Promedio de 22. Zamora Chinchipe - Estándar </v>
      </c>
      <c r="I57">
        <f t="shared" si="1"/>
        <v>8.4299880609960027</v>
      </c>
      <c r="O57" t="str">
        <f t="shared" si="15"/>
        <v xml:space="preserve">Promedio de 13. Los Ríos - Estándar </v>
      </c>
      <c r="P57">
        <f t="shared" si="2"/>
        <v>31.185606853408366</v>
      </c>
      <c r="V57" t="str">
        <f t="shared" si="16"/>
        <v xml:space="preserve">Promedio de 16. Napo - Estáncar </v>
      </c>
      <c r="W57">
        <f t="shared" si="3"/>
        <v>8.8619893064024389</v>
      </c>
      <c r="AC57" t="str">
        <f t="shared" si="17"/>
        <v xml:space="preserve">Promedio de 17. Francisco de Orellana - Estándar </v>
      </c>
      <c r="AD57">
        <f t="shared" si="4"/>
        <v>32.96747888318167</v>
      </c>
      <c r="AJ57" t="str">
        <f t="shared" si="18"/>
        <v xml:space="preserve">Promedio de 12. Loja - Estándar </v>
      </c>
      <c r="AK57">
        <f t="shared" si="5"/>
        <v>4.0366926406847442E-2</v>
      </c>
      <c r="AQ57" t="str">
        <f t="shared" si="19"/>
        <v xml:space="preserve">Promedio de 22. Zamora Chinchipe - Estándar </v>
      </c>
      <c r="AR57">
        <f t="shared" si="6"/>
        <v>15.69305166942673</v>
      </c>
      <c r="AX57" t="str">
        <f t="shared" si="20"/>
        <v xml:space="preserve">Promedio de 17. Francisco de Orellana - Estándar </v>
      </c>
      <c r="AY57">
        <f t="shared" si="7"/>
        <v>27.91700068781509</v>
      </c>
      <c r="BE57" t="str">
        <f t="shared" si="21"/>
        <v xml:space="preserve">Promedio de 6. Cotopaxi - Estándar </v>
      </c>
      <c r="BF57">
        <f t="shared" si="8"/>
        <v>28.027966296754386</v>
      </c>
      <c r="BL57" t="str">
        <f t="shared" si="22"/>
        <v xml:space="preserve">Promedio de 8. Esmeraldas - Estándar </v>
      </c>
      <c r="BM57">
        <f t="shared" si="9"/>
        <v>20.131725555148698</v>
      </c>
      <c r="BS57" t="str">
        <f t="shared" si="23"/>
        <v xml:space="preserve">Promedio de 6. Cotopaxi - Estándar </v>
      </c>
      <c r="BT57">
        <f t="shared" si="10"/>
        <v>35.919340894704689</v>
      </c>
      <c r="BZ57" t="str">
        <f t="shared" si="24"/>
        <v xml:space="preserve">Promedio de 14. Manabí - Estáncar </v>
      </c>
      <c r="CA57">
        <f t="shared" si="11"/>
        <v>10.000836479091461</v>
      </c>
      <c r="CG57" t="str">
        <f t="shared" si="25"/>
        <v xml:space="preserve">Promedio de 17. Francisco de Orellana - Estándar </v>
      </c>
      <c r="CH57">
        <f t="shared" si="12"/>
        <v>11.919709125449563</v>
      </c>
    </row>
    <row r="58" spans="1:86">
      <c r="A58" t="str">
        <f t="shared" si="13"/>
        <v xml:space="preserve">Promedio de 16. Napo - Estáncar </v>
      </c>
      <c r="B58">
        <f t="shared" si="0"/>
        <v>26.937712908191553</v>
      </c>
      <c r="H58" t="str">
        <f t="shared" si="14"/>
        <v xml:space="preserve">Promedio de 2. Bolívar - Estándar </v>
      </c>
      <c r="I58">
        <f t="shared" si="1"/>
        <v>7.1315725188494845</v>
      </c>
      <c r="O58" t="str">
        <f t="shared" si="15"/>
        <v xml:space="preserve">Promedio de 10. Guayas - Estándar </v>
      </c>
      <c r="P58">
        <f t="shared" si="2"/>
        <v>25.985485337513303</v>
      </c>
      <c r="V58" t="str">
        <f t="shared" si="16"/>
        <v xml:space="preserve">Promedio de 2. Bolívar - Estándar </v>
      </c>
      <c r="W58">
        <f t="shared" si="3"/>
        <v>5.2703627652292955</v>
      </c>
      <c r="AC58" t="str">
        <f t="shared" si="17"/>
        <v xml:space="preserve">Promedio de 9. Galápagos - Estándar </v>
      </c>
      <c r="AD58">
        <f t="shared" si="4"/>
        <v>24.667058362710538</v>
      </c>
      <c r="AJ58" t="str">
        <f t="shared" si="18"/>
        <v xml:space="preserve">Promedio de 20. Sucumbíos - Estáncar </v>
      </c>
      <c r="AK58">
        <f t="shared" si="5"/>
        <v>1.1767474699929396E-2</v>
      </c>
      <c r="AQ58" t="str">
        <f t="shared" si="19"/>
        <v xml:space="preserve">Promedio de 16. Napo - Estáncar </v>
      </c>
      <c r="AR58">
        <f t="shared" si="6"/>
        <v>12.946020471393387</v>
      </c>
      <c r="AX58" t="str">
        <f t="shared" si="20"/>
        <v xml:space="preserve">Promedio de 15. Morona Santiago - Estáncar </v>
      </c>
      <c r="AY58">
        <f t="shared" si="7"/>
        <v>18.556170745663252</v>
      </c>
      <c r="BE58" t="str">
        <f t="shared" si="21"/>
        <v xml:space="preserve">Promedio de 20. Sucumbíos - Estáncar </v>
      </c>
      <c r="BF58">
        <f t="shared" si="8"/>
        <v>14.477820421511758</v>
      </c>
      <c r="BL58" t="str">
        <f t="shared" si="22"/>
        <v xml:space="preserve">Promedio de 2. Bolívar - Estándar </v>
      </c>
      <c r="BM58">
        <f t="shared" si="9"/>
        <v>15.105123117856001</v>
      </c>
      <c r="BS58" t="str">
        <f t="shared" si="23"/>
        <v xml:space="preserve">Promedio de 12. Loja - Estándar </v>
      </c>
      <c r="BT58">
        <f t="shared" si="10"/>
        <v>31.652729935089518</v>
      </c>
      <c r="BZ58" t="str">
        <f t="shared" si="24"/>
        <v xml:space="preserve">Promedio de 10. Guayas - Estándar </v>
      </c>
      <c r="CA58">
        <f t="shared" si="11"/>
        <v>4.2577554880047375</v>
      </c>
      <c r="CG58" t="str">
        <f t="shared" si="25"/>
        <v xml:space="preserve">Promedio de 20. Sucumbíos - Estáncar </v>
      </c>
      <c r="CH58">
        <f t="shared" si="12"/>
        <v>11.368062474127202</v>
      </c>
    </row>
  </sheetData>
  <sortState ref="CG3:CH29">
    <sortCondition descending="1" ref="CH5"/>
  </sortState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5"/>
  <sheetViews>
    <sheetView topLeftCell="A41" workbookViewId="0">
      <selection activeCell="B80" sqref="B80"/>
    </sheetView>
  </sheetViews>
  <sheetFormatPr baseColWidth="10" defaultRowHeight="15" x14ac:dyDescent="0"/>
  <cols>
    <col min="1" max="1" width="41.6640625" bestFit="1" customWidth="1"/>
    <col min="2" max="2" width="29.33203125" bestFit="1" customWidth="1"/>
    <col min="3" max="3" width="20.33203125" bestFit="1" customWidth="1"/>
    <col min="4" max="4" width="12.1640625" bestFit="1" customWidth="1"/>
    <col min="5" max="5" width="17.5" bestFit="1" customWidth="1"/>
    <col min="6" max="6" width="29.1640625" bestFit="1" customWidth="1"/>
    <col min="7" max="7" width="25" bestFit="1" customWidth="1"/>
    <col min="8" max="8" width="26.6640625" customWidth="1"/>
    <col min="9" max="9" width="18.83203125" customWidth="1"/>
    <col min="10" max="10" width="26.6640625" bestFit="1" customWidth="1"/>
    <col min="11" max="11" width="16" customWidth="1"/>
    <col min="12" max="12" width="12.1640625" customWidth="1"/>
    <col min="13" max="13" width="40.33203125" bestFit="1" customWidth="1"/>
    <col min="14" max="14" width="12.1640625" bestFit="1" customWidth="1"/>
    <col min="15" max="15" width="26.83203125" customWidth="1"/>
    <col min="16" max="16" width="34.6640625" customWidth="1"/>
    <col min="17" max="17" width="25" customWidth="1"/>
    <col min="18" max="18" width="38.33203125" customWidth="1"/>
    <col min="19" max="19" width="26.83203125" customWidth="1"/>
    <col min="20" max="20" width="28.5" customWidth="1"/>
    <col min="21" max="21" width="29.33203125" customWidth="1"/>
    <col min="22" max="22" width="30.33203125" customWidth="1"/>
    <col min="23" max="23" width="35.5" customWidth="1"/>
    <col min="24" max="24" width="21.1640625" customWidth="1"/>
    <col min="25" max="25" width="37.1640625" customWidth="1"/>
    <col min="26" max="26" width="24.1640625" customWidth="1"/>
    <col min="27" max="27" width="25.33203125" customWidth="1"/>
    <col min="28" max="28" width="24.5" customWidth="1"/>
    <col min="29" max="29" width="24.83203125" customWidth="1"/>
    <col min="30" max="30" width="29.5" customWidth="1"/>
    <col min="31" max="31" width="27" customWidth="1"/>
    <col min="32" max="32" width="24.83203125" customWidth="1"/>
    <col min="33" max="33" width="29" customWidth="1"/>
    <col min="34" max="34" width="28.1640625" customWidth="1"/>
    <col min="35" max="35" width="26.6640625" customWidth="1"/>
    <col min="36" max="36" width="28.1640625" customWidth="1"/>
    <col min="37" max="37" width="24.1640625" customWidth="1"/>
    <col min="38" max="38" width="27.33203125" customWidth="1"/>
    <col min="39" max="39" width="26.83203125" customWidth="1"/>
    <col min="40" max="40" width="34.6640625" customWidth="1"/>
    <col min="41" max="41" width="25" customWidth="1"/>
    <col min="42" max="42" width="38.33203125" customWidth="1"/>
    <col min="43" max="43" width="26.83203125" customWidth="1"/>
    <col min="44" max="44" width="28.5" customWidth="1"/>
    <col min="45" max="45" width="29.33203125" customWidth="1"/>
    <col min="46" max="46" width="30.33203125" customWidth="1"/>
    <col min="47" max="47" width="35.5" customWidth="1"/>
    <col min="48" max="48" width="21.1640625" customWidth="1"/>
    <col min="49" max="49" width="37.1640625" customWidth="1"/>
    <col min="50" max="50" width="24.1640625" customWidth="1"/>
    <col min="51" max="51" width="25.33203125" customWidth="1"/>
    <col min="52" max="52" width="24.5" customWidth="1"/>
    <col min="53" max="53" width="24.83203125" customWidth="1"/>
    <col min="54" max="54" width="29.5" customWidth="1"/>
    <col min="55" max="55" width="27" customWidth="1"/>
    <col min="56" max="56" width="24.83203125" customWidth="1"/>
    <col min="57" max="57" width="29" customWidth="1"/>
    <col min="58" max="58" width="28.1640625" customWidth="1"/>
    <col min="59" max="59" width="26.6640625" customWidth="1"/>
    <col min="60" max="60" width="28.1640625" customWidth="1"/>
    <col min="61" max="61" width="24.1640625" customWidth="1"/>
    <col min="62" max="62" width="27.33203125" customWidth="1"/>
    <col min="63" max="63" width="26.83203125" customWidth="1"/>
    <col min="64" max="64" width="34.6640625" customWidth="1"/>
    <col min="65" max="65" width="25" customWidth="1"/>
    <col min="66" max="66" width="38.33203125" customWidth="1"/>
    <col min="67" max="67" width="26.83203125" customWidth="1"/>
    <col min="68" max="68" width="28.5" customWidth="1"/>
    <col min="69" max="69" width="29.33203125" customWidth="1"/>
    <col min="70" max="70" width="30.33203125" customWidth="1"/>
    <col min="71" max="71" width="35.5" customWidth="1"/>
    <col min="72" max="72" width="21.1640625" customWidth="1"/>
    <col min="73" max="73" width="37.1640625" customWidth="1"/>
    <col min="74" max="74" width="24.1640625" customWidth="1"/>
    <col min="75" max="75" width="25.33203125" customWidth="1"/>
    <col min="76" max="76" width="24.5" customWidth="1"/>
    <col min="77" max="77" width="24.83203125" customWidth="1"/>
    <col min="78" max="78" width="29.5" customWidth="1"/>
    <col min="79" max="79" width="27" customWidth="1"/>
    <col min="80" max="80" width="24.83203125" customWidth="1"/>
    <col min="81" max="81" width="29" customWidth="1"/>
    <col min="82" max="82" width="28.1640625" customWidth="1"/>
    <col min="83" max="83" width="26.6640625" customWidth="1"/>
    <col min="84" max="84" width="28.1640625" customWidth="1"/>
    <col min="85" max="85" width="24.1640625" customWidth="1"/>
    <col min="86" max="86" width="27.33203125" customWidth="1"/>
    <col min="87" max="87" width="26.83203125" customWidth="1"/>
    <col min="88" max="88" width="34.6640625" customWidth="1"/>
    <col min="89" max="89" width="25" customWidth="1"/>
    <col min="90" max="90" width="38.33203125" customWidth="1"/>
    <col min="91" max="91" width="26.83203125" customWidth="1"/>
    <col min="92" max="92" width="28.5" customWidth="1"/>
    <col min="93" max="93" width="29.33203125" customWidth="1"/>
    <col min="94" max="94" width="30.33203125" customWidth="1"/>
    <col min="95" max="95" width="35.5" customWidth="1"/>
    <col min="96" max="96" width="21.1640625" customWidth="1"/>
    <col min="97" max="97" width="37.1640625" customWidth="1"/>
    <col min="98" max="98" width="29.1640625" customWidth="1"/>
    <col min="99" max="99" width="25.33203125" customWidth="1"/>
    <col min="100" max="100" width="24.5" customWidth="1"/>
    <col min="101" max="101" width="24.83203125" customWidth="1"/>
    <col min="102" max="102" width="29.5" customWidth="1"/>
    <col min="103" max="103" width="27" customWidth="1"/>
    <col min="104" max="104" width="24.83203125" customWidth="1"/>
    <col min="105" max="105" width="29" customWidth="1"/>
    <col min="106" max="106" width="28.1640625" customWidth="1"/>
    <col min="107" max="107" width="26.6640625" customWidth="1"/>
    <col min="108" max="108" width="28.1640625" customWidth="1"/>
    <col min="109" max="109" width="24.1640625" customWidth="1"/>
    <col min="110" max="110" width="27.33203125" customWidth="1"/>
    <col min="111" max="111" width="26.83203125" customWidth="1"/>
    <col min="112" max="112" width="34.6640625" customWidth="1"/>
    <col min="113" max="113" width="25" customWidth="1"/>
    <col min="114" max="114" width="38.33203125" customWidth="1"/>
    <col min="115" max="115" width="26.83203125" customWidth="1"/>
    <col min="116" max="116" width="28.5" customWidth="1"/>
    <col min="117" max="117" width="29.33203125" customWidth="1"/>
    <col min="118" max="118" width="30.33203125" customWidth="1"/>
    <col min="119" max="119" width="35.5" customWidth="1"/>
    <col min="120" max="120" width="21.1640625" customWidth="1"/>
    <col min="121" max="121" width="37.1640625" customWidth="1"/>
    <col min="122" max="122" width="25" customWidth="1"/>
    <col min="123" max="123" width="25.33203125" customWidth="1"/>
    <col min="124" max="124" width="24.5" customWidth="1"/>
    <col min="125" max="125" width="24.83203125" customWidth="1"/>
    <col min="126" max="126" width="29.5" customWidth="1"/>
    <col min="127" max="127" width="27" customWidth="1"/>
    <col min="128" max="128" width="24.83203125" customWidth="1"/>
    <col min="129" max="129" width="29" customWidth="1"/>
    <col min="130" max="130" width="28.1640625" customWidth="1"/>
    <col min="131" max="131" width="26.6640625" customWidth="1"/>
    <col min="132" max="132" width="28.1640625" customWidth="1"/>
    <col min="133" max="133" width="24.1640625" customWidth="1"/>
    <col min="134" max="134" width="27.33203125" customWidth="1"/>
    <col min="135" max="135" width="26.83203125" customWidth="1"/>
    <col min="136" max="136" width="34.6640625" customWidth="1"/>
    <col min="137" max="137" width="25" customWidth="1"/>
    <col min="138" max="138" width="38.33203125" customWidth="1"/>
    <col min="139" max="139" width="26.83203125" customWidth="1"/>
    <col min="140" max="140" width="28.5" customWidth="1"/>
    <col min="141" max="141" width="29.33203125" customWidth="1"/>
    <col min="142" max="142" width="30.33203125" customWidth="1"/>
    <col min="143" max="143" width="35.5" customWidth="1"/>
    <col min="144" max="144" width="21.1640625" customWidth="1"/>
    <col min="145" max="145" width="37.1640625" customWidth="1"/>
    <col min="146" max="146" width="27.5" customWidth="1"/>
    <col min="147" max="147" width="25.33203125" customWidth="1"/>
    <col min="148" max="148" width="24.5" customWidth="1"/>
    <col min="149" max="149" width="24.83203125" customWidth="1"/>
    <col min="150" max="150" width="29.5" customWidth="1"/>
    <col min="151" max="151" width="27" customWidth="1"/>
    <col min="152" max="152" width="24.83203125" customWidth="1"/>
    <col min="153" max="153" width="29" customWidth="1"/>
    <col min="154" max="154" width="28.1640625" customWidth="1"/>
    <col min="155" max="155" width="26.6640625" customWidth="1"/>
    <col min="156" max="156" width="28.1640625" customWidth="1"/>
    <col min="157" max="157" width="24.1640625" customWidth="1"/>
    <col min="158" max="158" width="27.33203125" customWidth="1"/>
    <col min="159" max="159" width="26.83203125" customWidth="1"/>
    <col min="160" max="160" width="34.6640625" customWidth="1"/>
    <col min="161" max="161" width="25" customWidth="1"/>
    <col min="162" max="162" width="38.33203125" customWidth="1"/>
    <col min="163" max="163" width="26.83203125" customWidth="1"/>
    <col min="164" max="164" width="28.5" customWidth="1"/>
    <col min="165" max="165" width="29.33203125" customWidth="1"/>
    <col min="166" max="166" width="30.33203125" customWidth="1"/>
    <col min="167" max="167" width="35.5" customWidth="1"/>
    <col min="168" max="168" width="21.1640625" customWidth="1"/>
    <col min="169" max="169" width="37.1640625" customWidth="1"/>
    <col min="170" max="170" width="26.6640625" customWidth="1"/>
    <col min="171" max="171" width="25.33203125" customWidth="1"/>
    <col min="172" max="172" width="24.5" customWidth="1"/>
    <col min="173" max="173" width="24.83203125" customWidth="1"/>
    <col min="174" max="174" width="29.5" customWidth="1"/>
    <col min="175" max="175" width="27" customWidth="1"/>
    <col min="176" max="176" width="24.83203125" customWidth="1"/>
    <col min="177" max="177" width="29" customWidth="1"/>
    <col min="178" max="178" width="28.1640625" customWidth="1"/>
    <col min="179" max="179" width="26.6640625" customWidth="1"/>
    <col min="180" max="180" width="28.1640625" customWidth="1"/>
    <col min="181" max="181" width="24.1640625" customWidth="1"/>
    <col min="182" max="182" width="27.33203125" customWidth="1"/>
    <col min="183" max="183" width="26.83203125" customWidth="1"/>
    <col min="184" max="184" width="34.6640625" customWidth="1"/>
    <col min="185" max="185" width="25" customWidth="1"/>
    <col min="186" max="186" width="38.33203125" customWidth="1"/>
    <col min="187" max="187" width="26.83203125" customWidth="1"/>
    <col min="188" max="188" width="28.5" customWidth="1"/>
    <col min="189" max="189" width="29.33203125" customWidth="1"/>
    <col min="190" max="190" width="30.33203125" customWidth="1"/>
    <col min="191" max="191" width="35.5" customWidth="1"/>
    <col min="192" max="192" width="21.1640625" customWidth="1"/>
    <col min="193" max="193" width="37.1640625" customWidth="1"/>
    <col min="194" max="194" width="24.1640625" customWidth="1"/>
    <col min="195" max="195" width="25.33203125" customWidth="1"/>
    <col min="196" max="196" width="24.5" customWidth="1"/>
    <col min="197" max="197" width="24.83203125" customWidth="1"/>
    <col min="198" max="198" width="29.5" customWidth="1"/>
    <col min="199" max="199" width="27" customWidth="1"/>
    <col min="200" max="200" width="24.83203125" customWidth="1"/>
    <col min="201" max="201" width="29" customWidth="1"/>
    <col min="202" max="202" width="28.1640625" customWidth="1"/>
    <col min="203" max="203" width="26.6640625" customWidth="1"/>
    <col min="204" max="204" width="28.1640625" customWidth="1"/>
    <col min="205" max="205" width="24.1640625" customWidth="1"/>
    <col min="206" max="206" width="27.33203125" customWidth="1"/>
    <col min="207" max="207" width="26.83203125" customWidth="1"/>
    <col min="208" max="208" width="34.6640625" customWidth="1"/>
    <col min="209" max="209" width="25" customWidth="1"/>
    <col min="210" max="210" width="38.33203125" customWidth="1"/>
    <col min="211" max="211" width="26.83203125" customWidth="1"/>
    <col min="212" max="212" width="28.5" customWidth="1"/>
    <col min="213" max="213" width="29.33203125" customWidth="1"/>
    <col min="214" max="214" width="30.33203125" customWidth="1"/>
    <col min="215" max="215" width="35.5" customWidth="1"/>
    <col min="216" max="216" width="21.1640625" customWidth="1"/>
    <col min="217" max="217" width="37.1640625" customWidth="1"/>
    <col min="218" max="218" width="26.6640625" customWidth="1"/>
    <col min="219" max="219" width="25.33203125" customWidth="1"/>
    <col min="220" max="220" width="24.5" customWidth="1"/>
    <col min="221" max="221" width="24.83203125" customWidth="1"/>
    <col min="222" max="222" width="29.5" customWidth="1"/>
    <col min="223" max="223" width="27" customWidth="1"/>
    <col min="224" max="224" width="24.83203125" customWidth="1"/>
    <col min="225" max="225" width="29" customWidth="1"/>
    <col min="226" max="226" width="28.1640625" customWidth="1"/>
    <col min="227" max="227" width="26.6640625" customWidth="1"/>
    <col min="228" max="228" width="28.1640625" customWidth="1"/>
    <col min="229" max="229" width="24.1640625" customWidth="1"/>
    <col min="230" max="230" width="27.33203125" customWidth="1"/>
    <col min="231" max="231" width="26.83203125" customWidth="1"/>
    <col min="232" max="232" width="34.6640625" customWidth="1"/>
    <col min="233" max="233" width="25" customWidth="1"/>
    <col min="234" max="234" width="38.33203125" customWidth="1"/>
    <col min="235" max="235" width="26.83203125" customWidth="1"/>
    <col min="236" max="236" width="28.5" customWidth="1"/>
    <col min="237" max="237" width="29.33203125" customWidth="1"/>
    <col min="238" max="238" width="30.33203125" customWidth="1"/>
    <col min="239" max="239" width="35.5" customWidth="1"/>
    <col min="240" max="240" width="21.1640625" customWidth="1"/>
    <col min="241" max="241" width="37.1640625" customWidth="1"/>
    <col min="242" max="242" width="24.1640625" customWidth="1"/>
    <col min="243" max="243" width="25.33203125" customWidth="1"/>
    <col min="244" max="244" width="24.5" customWidth="1"/>
    <col min="245" max="245" width="24.83203125" customWidth="1"/>
    <col min="246" max="246" width="29.5" customWidth="1"/>
    <col min="247" max="247" width="27" customWidth="1"/>
    <col min="248" max="248" width="24.83203125" customWidth="1"/>
    <col min="249" max="249" width="29" customWidth="1"/>
    <col min="250" max="250" width="28.1640625" customWidth="1"/>
    <col min="251" max="251" width="26.6640625" customWidth="1"/>
    <col min="252" max="252" width="28.1640625" customWidth="1"/>
    <col min="253" max="253" width="24.1640625" customWidth="1"/>
    <col min="254" max="254" width="27.33203125" customWidth="1"/>
    <col min="255" max="255" width="26.83203125" customWidth="1"/>
    <col min="256" max="256" width="34.6640625" customWidth="1"/>
    <col min="257" max="257" width="25" customWidth="1"/>
    <col min="258" max="258" width="38.33203125" customWidth="1"/>
    <col min="259" max="259" width="26.83203125" customWidth="1"/>
    <col min="260" max="260" width="28.5" customWidth="1"/>
    <col min="261" max="261" width="29.33203125" customWidth="1"/>
    <col min="262" max="262" width="30.33203125" customWidth="1"/>
    <col min="263" max="263" width="35.5" customWidth="1"/>
    <col min="264" max="264" width="21.1640625" customWidth="1"/>
    <col min="265" max="265" width="37.1640625" customWidth="1"/>
    <col min="266" max="266" width="24.1640625" customWidth="1"/>
    <col min="267" max="267" width="25.33203125" customWidth="1"/>
    <col min="268" max="268" width="24.5" customWidth="1"/>
    <col min="269" max="269" width="24.83203125" customWidth="1"/>
    <col min="270" max="270" width="29.5" customWidth="1"/>
    <col min="271" max="271" width="27" customWidth="1"/>
    <col min="272" max="272" width="24.83203125" customWidth="1"/>
    <col min="273" max="273" width="29" customWidth="1"/>
    <col min="274" max="274" width="28.1640625" customWidth="1"/>
    <col min="275" max="275" width="26.6640625" customWidth="1"/>
    <col min="276" max="276" width="28.1640625" customWidth="1"/>
    <col min="277" max="277" width="24.1640625" customWidth="1"/>
    <col min="278" max="278" width="27.33203125" customWidth="1"/>
    <col min="279" max="279" width="26.83203125" customWidth="1"/>
    <col min="280" max="280" width="34.6640625" customWidth="1"/>
    <col min="281" max="281" width="25" customWidth="1"/>
    <col min="282" max="282" width="38.33203125" customWidth="1"/>
    <col min="283" max="283" width="26.83203125" customWidth="1"/>
    <col min="284" max="284" width="28.5" customWidth="1"/>
    <col min="285" max="285" width="29.33203125" customWidth="1"/>
    <col min="286" max="286" width="30.33203125" customWidth="1"/>
    <col min="287" max="287" width="35.5" customWidth="1"/>
    <col min="288" max="288" width="21.1640625" customWidth="1"/>
    <col min="289" max="289" width="37.1640625" bestFit="1" customWidth="1"/>
    <col min="290" max="290" width="28.83203125" customWidth="1"/>
    <col min="291" max="291" width="30" customWidth="1"/>
    <col min="292" max="292" width="29.1640625" customWidth="1"/>
    <col min="293" max="293" width="29.5" bestFit="1" customWidth="1"/>
    <col min="294" max="294" width="34.1640625" customWidth="1"/>
    <col min="295" max="295" width="31.5" bestFit="1" customWidth="1"/>
    <col min="296" max="296" width="29.33203125" customWidth="1"/>
    <col min="297" max="297" width="33.6640625" customWidth="1"/>
    <col min="298" max="298" width="32.83203125" customWidth="1"/>
    <col min="299" max="299" width="31.33203125" customWidth="1"/>
    <col min="300" max="300" width="32.83203125" bestFit="1" customWidth="1"/>
    <col min="301" max="301" width="28.6640625" bestFit="1" customWidth="1"/>
    <col min="302" max="302" width="31.83203125" bestFit="1" customWidth="1"/>
    <col min="303" max="303" width="31.33203125" bestFit="1" customWidth="1"/>
    <col min="304" max="304" width="39.1640625" bestFit="1" customWidth="1"/>
    <col min="305" max="305" width="29.5" bestFit="1" customWidth="1"/>
    <col min="306" max="306" width="42.83203125" bestFit="1" customWidth="1"/>
    <col min="307" max="307" width="31.33203125" bestFit="1" customWidth="1"/>
    <col min="308" max="308" width="33.1640625" bestFit="1" customWidth="1"/>
    <col min="309" max="309" width="34" bestFit="1" customWidth="1"/>
    <col min="310" max="310" width="35" bestFit="1" customWidth="1"/>
    <col min="311" max="311" width="40" bestFit="1" customWidth="1"/>
    <col min="312" max="312" width="25.6640625" bestFit="1" customWidth="1"/>
    <col min="313" max="313" width="41.83203125" bestFit="1" customWidth="1"/>
  </cols>
  <sheetData>
    <row r="3" spans="1:14">
      <c r="B3" s="1" t="s">
        <v>285</v>
      </c>
    </row>
    <row r="4" spans="1:14">
      <c r="A4" s="1" t="s">
        <v>286</v>
      </c>
      <c r="B4" t="s">
        <v>118</v>
      </c>
      <c r="C4" t="s">
        <v>137</v>
      </c>
      <c r="D4" t="s">
        <v>163</v>
      </c>
      <c r="E4" t="s">
        <v>174</v>
      </c>
      <c r="F4" t="s">
        <v>185</v>
      </c>
      <c r="G4" t="s">
        <v>197</v>
      </c>
      <c r="H4" t="s">
        <v>223</v>
      </c>
      <c r="I4" t="s">
        <v>233</v>
      </c>
      <c r="J4" t="s">
        <v>254</v>
      </c>
      <c r="K4" t="s">
        <v>260</v>
      </c>
      <c r="L4" t="s">
        <v>269</v>
      </c>
      <c r="M4" t="s">
        <v>344</v>
      </c>
      <c r="N4" t="s">
        <v>284</v>
      </c>
    </row>
    <row r="5" spans="1:14">
      <c r="A5" s="2" t="s">
        <v>290</v>
      </c>
      <c r="B5" s="3">
        <v>55.43428888442628</v>
      </c>
      <c r="C5" s="3">
        <v>43.441651067617762</v>
      </c>
      <c r="D5" s="3">
        <v>76.41402986100718</v>
      </c>
      <c r="E5" s="3">
        <v>45.39235203231614</v>
      </c>
      <c r="F5" s="3">
        <v>41.712380330867838</v>
      </c>
      <c r="G5" s="3">
        <v>75.82068883367036</v>
      </c>
      <c r="H5" s="3">
        <v>8.8146405922075957</v>
      </c>
      <c r="I5" s="3">
        <v>40.827968000960567</v>
      </c>
      <c r="J5" s="3">
        <v>36.781054277739017</v>
      </c>
      <c r="K5" s="3">
        <v>24.187850384777683</v>
      </c>
      <c r="L5" s="3">
        <v>59.374328697385472</v>
      </c>
      <c r="M5" s="3">
        <v>53.278712508208059</v>
      </c>
      <c r="N5" s="3">
        <v>47.26361752642601</v>
      </c>
    </row>
    <row r="6" spans="1:14">
      <c r="A6" s="2" t="s">
        <v>291</v>
      </c>
      <c r="B6" s="3">
        <v>34.38189172447467</v>
      </c>
      <c r="C6" s="3">
        <v>7.1315725188494845</v>
      </c>
      <c r="D6" s="3">
        <v>67.762189731040635</v>
      </c>
      <c r="E6" s="3">
        <v>5.2703627652292955</v>
      </c>
      <c r="F6" s="3">
        <v>15.105123117855999</v>
      </c>
      <c r="G6" s="3">
        <v>68.520252219071111</v>
      </c>
      <c r="H6" s="3">
        <v>2.8835177536475163</v>
      </c>
      <c r="I6" s="3">
        <v>22.660080781362709</v>
      </c>
      <c r="J6" s="3">
        <v>48.34038082608707</v>
      </c>
      <c r="K6" s="3">
        <v>28.042750124673233</v>
      </c>
      <c r="L6" s="3">
        <v>32.901394509232354</v>
      </c>
      <c r="M6" s="3">
        <v>47.084417795590035</v>
      </c>
      <c r="N6" s="3">
        <v>29.117784207646618</v>
      </c>
    </row>
    <row r="7" spans="1:14">
      <c r="A7" s="2" t="s">
        <v>292</v>
      </c>
      <c r="B7" s="3">
        <v>47.996677936663673</v>
      </c>
      <c r="C7" s="3">
        <v>31.604176178786897</v>
      </c>
      <c r="D7" s="3">
        <v>53.06149482699373</v>
      </c>
      <c r="E7" s="3">
        <v>15.051379258329193</v>
      </c>
      <c r="F7" s="3">
        <v>42.124271033701874</v>
      </c>
      <c r="G7" s="3">
        <v>72.577684174483906</v>
      </c>
      <c r="H7" s="3">
        <v>3.1141087396037648</v>
      </c>
      <c r="I7" s="3">
        <v>21.211828446529225</v>
      </c>
      <c r="J7" s="3">
        <v>36.710184920092637</v>
      </c>
      <c r="K7" s="3">
        <v>55.23927292990868</v>
      </c>
      <c r="L7" s="3">
        <v>42.961573900316516</v>
      </c>
      <c r="M7" s="3">
        <v>47.879215920654516</v>
      </c>
      <c r="N7" s="3">
        <v>38.069774200316871</v>
      </c>
    </row>
    <row r="8" spans="1:14">
      <c r="A8" s="2" t="s">
        <v>293</v>
      </c>
      <c r="B8" s="3">
        <v>29.354278162958177</v>
      </c>
      <c r="C8" s="3">
        <v>15.945527691485792</v>
      </c>
      <c r="D8" s="3">
        <v>48.039440287868011</v>
      </c>
      <c r="E8" s="3">
        <v>16.508315152899154</v>
      </c>
      <c r="F8" s="3">
        <v>30.969163589978894</v>
      </c>
      <c r="G8" s="3">
        <v>69.115480625006995</v>
      </c>
      <c r="H8" s="3">
        <v>10.523743121815597</v>
      </c>
      <c r="I8" s="3">
        <v>20.209009355427529</v>
      </c>
      <c r="J8" s="3">
        <v>41.027299308695703</v>
      </c>
      <c r="K8" s="3">
        <v>48.538502722160317</v>
      </c>
      <c r="L8" s="3">
        <v>44.328406783331502</v>
      </c>
      <c r="M8" s="3">
        <v>41.555451267933158</v>
      </c>
      <c r="N8" s="3">
        <v>32.284022596590262</v>
      </c>
    </row>
    <row r="9" spans="1:14">
      <c r="A9" s="2" t="s">
        <v>294</v>
      </c>
      <c r="B9" s="3">
        <v>45.838133721114446</v>
      </c>
      <c r="C9" s="3">
        <v>37.944543791389293</v>
      </c>
      <c r="D9" s="3">
        <v>78.001621523719052</v>
      </c>
      <c r="E9" s="3">
        <v>21.358314866380166</v>
      </c>
      <c r="F9" s="3">
        <v>39.265736116927734</v>
      </c>
      <c r="G9" s="3">
        <v>64.50152349703842</v>
      </c>
      <c r="H9" s="3">
        <v>2.5351655229673349</v>
      </c>
      <c r="I9" s="3">
        <v>21.753220918093671</v>
      </c>
      <c r="J9" s="3">
        <v>40.44942862404671</v>
      </c>
      <c r="K9" s="3">
        <v>37.052583144122671</v>
      </c>
      <c r="L9" s="3">
        <v>34.42597127774247</v>
      </c>
      <c r="M9" s="3">
        <v>62.34250575410249</v>
      </c>
      <c r="N9" s="3">
        <v>39.785725386044504</v>
      </c>
    </row>
    <row r="10" spans="1:14">
      <c r="A10" s="2" t="s">
        <v>295</v>
      </c>
      <c r="B10" s="3">
        <v>28.027966296754386</v>
      </c>
      <c r="C10" s="3">
        <v>20.678046491906287</v>
      </c>
      <c r="D10" s="3">
        <v>66.730110560407539</v>
      </c>
      <c r="E10" s="3">
        <v>23.130795732182285</v>
      </c>
      <c r="F10" s="3">
        <v>22.791524109681664</v>
      </c>
      <c r="G10" s="3">
        <v>53.418521852718634</v>
      </c>
      <c r="H10" s="3">
        <v>27.985914035271623</v>
      </c>
      <c r="I10" s="3">
        <v>27.086035466728344</v>
      </c>
      <c r="J10" s="3">
        <v>35.919340894704682</v>
      </c>
      <c r="K10" s="3">
        <v>15.988962741411985</v>
      </c>
      <c r="L10" s="3">
        <v>38.218470724354745</v>
      </c>
      <c r="M10" s="3">
        <v>32.806599334436498</v>
      </c>
      <c r="N10" s="3">
        <v>31.122110580018873</v>
      </c>
    </row>
    <row r="11" spans="1:14">
      <c r="A11" s="2" t="s">
        <v>296</v>
      </c>
      <c r="B11" s="3">
        <v>58.551913583832807</v>
      </c>
      <c r="C11" s="3">
        <v>33.373468683659404</v>
      </c>
      <c r="D11" s="3">
        <v>59.466182843310214</v>
      </c>
      <c r="E11" s="3">
        <v>32.718826236183872</v>
      </c>
      <c r="F11" s="3">
        <v>47.679285583442862</v>
      </c>
      <c r="G11" s="3">
        <v>70.893353773522435</v>
      </c>
      <c r="H11" s="3">
        <v>25.696342709304538</v>
      </c>
      <c r="I11" s="3">
        <v>31.574120599908483</v>
      </c>
      <c r="J11" s="3">
        <v>39.985356071638442</v>
      </c>
      <c r="K11" s="3">
        <v>39.902236181301127</v>
      </c>
      <c r="L11" s="3">
        <v>59.210009520353957</v>
      </c>
      <c r="M11" s="3">
        <v>28.402203560057021</v>
      </c>
      <c r="N11" s="3">
        <v>42.546721470822035</v>
      </c>
    </row>
    <row r="12" spans="1:14">
      <c r="A12" s="2" t="s">
        <v>297</v>
      </c>
      <c r="B12" s="3">
        <v>35.449770046105137</v>
      </c>
      <c r="C12" s="3">
        <v>20.039651156458525</v>
      </c>
      <c r="D12" s="3">
        <v>37.615748605438505</v>
      </c>
      <c r="E12" s="3">
        <v>22.948501322677906</v>
      </c>
      <c r="F12" s="3">
        <v>20.131725555148694</v>
      </c>
      <c r="G12" s="3">
        <v>52.402139878535955</v>
      </c>
      <c r="H12" s="3">
        <v>10.190280142922129</v>
      </c>
      <c r="I12" s="3">
        <v>16.916211578868687</v>
      </c>
      <c r="J12" s="3">
        <v>48.715997682336344</v>
      </c>
      <c r="K12" s="3">
        <v>10.277264663899899</v>
      </c>
      <c r="L12" s="3">
        <v>38.985044325261768</v>
      </c>
      <c r="M12" s="3">
        <v>15.627820967938694</v>
      </c>
      <c r="N12" s="3">
        <v>25.319261862750484</v>
      </c>
    </row>
    <row r="13" spans="1:14">
      <c r="A13" s="2" t="s">
        <v>298</v>
      </c>
      <c r="B13" s="3">
        <v>79.964392399555592</v>
      </c>
      <c r="C13" s="3">
        <v>47.547021686748131</v>
      </c>
      <c r="D13" s="24">
        <v>89.853417899929582</v>
      </c>
      <c r="E13" s="3">
        <v>47.256519181103876</v>
      </c>
      <c r="F13" s="3">
        <v>74.029681925442702</v>
      </c>
      <c r="G13" s="3">
        <v>24.667058362710538</v>
      </c>
      <c r="H13" s="3">
        <v>34.588247225839929</v>
      </c>
      <c r="I13" s="3">
        <v>39.478535605991659</v>
      </c>
      <c r="J13" s="3">
        <v>50</v>
      </c>
      <c r="K13" s="3">
        <v>78.740250317897022</v>
      </c>
      <c r="L13" s="3">
        <v>64.849247259041078</v>
      </c>
      <c r="M13" s="3">
        <v>68.291430792095767</v>
      </c>
      <c r="N13" s="3">
        <v>57.823785167313225</v>
      </c>
    </row>
    <row r="14" spans="1:14">
      <c r="A14" s="2" t="s">
        <v>299</v>
      </c>
      <c r="B14" s="3">
        <v>32.868514748600624</v>
      </c>
      <c r="C14" s="3">
        <v>42.019014291409171</v>
      </c>
      <c r="D14" s="3">
        <v>25.985485337513303</v>
      </c>
      <c r="E14" s="3">
        <v>67.129352145025635</v>
      </c>
      <c r="F14" s="3">
        <v>32.590112305645057</v>
      </c>
      <c r="G14" s="3">
        <v>72.937120904801702</v>
      </c>
      <c r="H14" s="3">
        <v>48.468861015080577</v>
      </c>
      <c r="I14" s="3">
        <v>58.982295857430486</v>
      </c>
      <c r="J14" s="3">
        <v>45.870857135991358</v>
      </c>
      <c r="K14" s="3">
        <v>4.2577554880047366</v>
      </c>
      <c r="L14" s="3">
        <v>67.785111808675737</v>
      </c>
      <c r="M14" s="3">
        <v>32.450079127539567</v>
      </c>
      <c r="N14" s="3">
        <v>44.842041874029761</v>
      </c>
    </row>
    <row r="15" spans="1:14">
      <c r="A15" s="2" t="s">
        <v>300</v>
      </c>
      <c r="B15" s="3">
        <v>61.060482317960712</v>
      </c>
      <c r="C15" s="3">
        <v>33.874953162107523</v>
      </c>
      <c r="D15" s="3">
        <v>47.057393937763777</v>
      </c>
      <c r="E15" s="3">
        <v>25.490606838547293</v>
      </c>
      <c r="F15" s="3">
        <v>52.930207951140041</v>
      </c>
      <c r="G15" s="3">
        <v>70.035601866878295</v>
      </c>
      <c r="H15" s="3">
        <v>19.227205647001888</v>
      </c>
      <c r="I15" s="3">
        <v>36.215753539402016</v>
      </c>
      <c r="J15" s="3">
        <v>42.457665346413563</v>
      </c>
      <c r="K15" s="3">
        <v>45.373492792027349</v>
      </c>
      <c r="L15" s="3">
        <v>51.505625432295822</v>
      </c>
      <c r="M15" s="3">
        <v>66.898228095033318</v>
      </c>
      <c r="N15" s="3">
        <v>46.137565285277503</v>
      </c>
    </row>
    <row r="16" spans="1:14">
      <c r="A16" s="2" t="s">
        <v>301</v>
      </c>
      <c r="B16" s="3">
        <v>51.917747831003169</v>
      </c>
      <c r="C16" s="3">
        <v>20.138577731280769</v>
      </c>
      <c r="D16" s="3">
        <v>42.825466440078458</v>
      </c>
      <c r="E16" s="3">
        <v>23.178255664999828</v>
      </c>
      <c r="F16" s="3">
        <v>28.386724855994409</v>
      </c>
      <c r="G16" s="3">
        <v>60.977044891808504</v>
      </c>
      <c r="H16" s="3">
        <v>4.0366926406847435E-2</v>
      </c>
      <c r="I16" s="3">
        <v>19.596099345560066</v>
      </c>
      <c r="J16" s="3">
        <v>31.652729935089518</v>
      </c>
      <c r="K16" s="3">
        <v>19.848526100904159</v>
      </c>
      <c r="L16" s="3">
        <v>36.835522653354914</v>
      </c>
      <c r="M16" s="3">
        <v>66.425814998907455</v>
      </c>
      <c r="N16" s="3">
        <v>33.559846028703305</v>
      </c>
    </row>
    <row r="17" spans="1:14">
      <c r="A17" s="2" t="s">
        <v>302</v>
      </c>
      <c r="B17" s="3">
        <v>40.471535582048411</v>
      </c>
      <c r="C17" s="3">
        <v>31.95220802004475</v>
      </c>
      <c r="D17" s="3">
        <v>31.185606853408363</v>
      </c>
      <c r="E17" s="3">
        <v>20.953204116658611</v>
      </c>
      <c r="F17" s="3">
        <v>29.255111597348947</v>
      </c>
      <c r="G17" s="3">
        <v>57.036263076967678</v>
      </c>
      <c r="H17" s="3">
        <v>13.657342699191002</v>
      </c>
      <c r="I17" s="3">
        <v>22.647380652831458</v>
      </c>
      <c r="J17" s="3">
        <v>47.560975609756099</v>
      </c>
      <c r="K17" s="3">
        <v>38.538321374367811</v>
      </c>
      <c r="L17" s="3">
        <v>49.502485111248056</v>
      </c>
      <c r="M17" s="3">
        <v>23.265695665793974</v>
      </c>
      <c r="N17" s="3">
        <v>32.51532427445084</v>
      </c>
    </row>
    <row r="18" spans="1:14">
      <c r="A18" s="2" t="s">
        <v>303</v>
      </c>
      <c r="B18" s="3">
        <v>37.120239027259224</v>
      </c>
      <c r="C18" s="3">
        <v>19.0282919812215</v>
      </c>
      <c r="D18" s="3">
        <v>50.544617501190984</v>
      </c>
      <c r="E18" s="3">
        <v>24.86448833978141</v>
      </c>
      <c r="F18" s="3">
        <v>21.122436683727681</v>
      </c>
      <c r="G18" s="3">
        <v>61.802764809619589</v>
      </c>
      <c r="H18" s="3">
        <v>17.468238048778058</v>
      </c>
      <c r="I18" s="3">
        <v>28.737768046720685</v>
      </c>
      <c r="J18" s="3">
        <v>49.314301937270912</v>
      </c>
      <c r="K18" s="3">
        <v>10.000836479091461</v>
      </c>
      <c r="L18" s="3">
        <v>46.538154825038639</v>
      </c>
      <c r="M18" s="3">
        <v>24.856829692083213</v>
      </c>
      <c r="N18" s="3">
        <v>30.762613737763679</v>
      </c>
    </row>
    <row r="19" spans="1:14">
      <c r="A19" s="2" t="s">
        <v>304</v>
      </c>
      <c r="B19" s="3">
        <v>36.471901139980908</v>
      </c>
      <c r="C19" s="3">
        <v>21.137930110404461</v>
      </c>
      <c r="D19" s="3">
        <v>68.7910406701927</v>
      </c>
      <c r="E19" s="3">
        <v>14.086170050435872</v>
      </c>
      <c r="F19" s="3">
        <v>54.198383458697755</v>
      </c>
      <c r="G19" s="3">
        <v>44.759978409603498</v>
      </c>
      <c r="H19" s="3">
        <v>0.99590557908401012</v>
      </c>
      <c r="I19" s="3">
        <v>16.445318224507808</v>
      </c>
      <c r="J19" s="3">
        <v>46.453532386813194</v>
      </c>
      <c r="K19" s="3">
        <v>50.5463800784051</v>
      </c>
      <c r="L19" s="3">
        <v>18.556170745663248</v>
      </c>
      <c r="M19" s="3">
        <v>12.320977792866355</v>
      </c>
      <c r="N19" s="3">
        <v>28.676271751502192</v>
      </c>
    </row>
    <row r="20" spans="1:14">
      <c r="A20" s="2" t="s">
        <v>305</v>
      </c>
      <c r="B20" s="3">
        <v>33.860137384586366</v>
      </c>
      <c r="C20" s="3">
        <v>15.298410083637878</v>
      </c>
      <c r="D20" s="3">
        <v>46.328498411071408</v>
      </c>
      <c r="E20" s="3">
        <v>8.8619893064024389</v>
      </c>
      <c r="F20" s="3">
        <v>42.494807102339834</v>
      </c>
      <c r="G20" s="3">
        <v>45.092046531236306</v>
      </c>
      <c r="H20" s="3">
        <v>3.8301203656502691</v>
      </c>
      <c r="I20" s="3">
        <v>12.946020471393389</v>
      </c>
      <c r="J20" s="3">
        <v>48.978773587953803</v>
      </c>
      <c r="K20" s="3">
        <v>28.925593958837496</v>
      </c>
      <c r="L20" s="3">
        <v>38.461139620731522</v>
      </c>
      <c r="M20" s="3">
        <v>27.56008646622923</v>
      </c>
      <c r="N20" s="3">
        <v>26.931761238612374</v>
      </c>
    </row>
    <row r="21" spans="1:14">
      <c r="A21" s="2" t="s">
        <v>306</v>
      </c>
      <c r="B21" s="3">
        <v>40.223611462571299</v>
      </c>
      <c r="C21" s="3">
        <v>55.142956952798293</v>
      </c>
      <c r="D21" s="3">
        <v>56.90917388057315</v>
      </c>
      <c r="E21" s="3">
        <v>28.96793209774501</v>
      </c>
      <c r="F21" s="3">
        <v>54.664802899120524</v>
      </c>
      <c r="G21" s="3">
        <v>32.96747888318167</v>
      </c>
      <c r="H21" s="3">
        <v>0.43359124897529111</v>
      </c>
      <c r="I21" s="3">
        <v>20.116634877435551</v>
      </c>
      <c r="J21" s="3">
        <v>48.524455421574501</v>
      </c>
      <c r="K21" s="3">
        <v>43.102225250239108</v>
      </c>
      <c r="L21" s="3">
        <v>27.91700068781509</v>
      </c>
      <c r="M21" s="3">
        <v>11.919709125449563</v>
      </c>
      <c r="N21" s="3">
        <v>34.211132719284038</v>
      </c>
    </row>
    <row r="22" spans="1:14">
      <c r="A22" s="2" t="s">
        <v>308</v>
      </c>
      <c r="B22" s="3">
        <v>43.965655057298569</v>
      </c>
      <c r="C22" s="3">
        <v>22.036400969299923</v>
      </c>
      <c r="D22" s="3">
        <v>66.291825928653367</v>
      </c>
      <c r="E22" s="3">
        <v>15.065458459918071</v>
      </c>
      <c r="F22" s="3">
        <v>38.246963807877805</v>
      </c>
      <c r="G22" s="3">
        <v>45.182755115161413</v>
      </c>
      <c r="H22" s="3">
        <v>1.3552522661752147</v>
      </c>
      <c r="I22" s="3">
        <v>21.144117119493924</v>
      </c>
      <c r="J22" s="3">
        <v>49.637398478331342</v>
      </c>
      <c r="K22" s="3">
        <v>39.997969817535733</v>
      </c>
      <c r="L22" s="3">
        <v>29.597979280859885</v>
      </c>
      <c r="M22" s="3">
        <v>50.442985348992707</v>
      </c>
      <c r="N22" s="3">
        <v>33.518594197138611</v>
      </c>
    </row>
    <row r="23" spans="1:14">
      <c r="A23" s="2" t="s">
        <v>307</v>
      </c>
      <c r="B23" s="3">
        <v>76.773191058661112</v>
      </c>
      <c r="C23" s="3">
        <v>79.713315598302742</v>
      </c>
      <c r="D23" s="3">
        <v>52.116710647134788</v>
      </c>
      <c r="E23" s="3">
        <v>81.019166845981928</v>
      </c>
      <c r="F23" s="3">
        <v>63.622607841463335</v>
      </c>
      <c r="G23" s="3">
        <v>81.071609676744174</v>
      </c>
      <c r="H23" s="3">
        <v>82.301898322812576</v>
      </c>
      <c r="I23" s="3">
        <v>78.97715440132761</v>
      </c>
      <c r="J23" s="3">
        <v>42.959669561547855</v>
      </c>
      <c r="K23" s="3">
        <v>34.958992205532404</v>
      </c>
      <c r="L23" s="3">
        <v>87.620446096752403</v>
      </c>
      <c r="M23" s="3">
        <v>68.453370687455973</v>
      </c>
      <c r="N23" s="3">
        <v>72.244617763509083</v>
      </c>
    </row>
    <row r="24" spans="1:14">
      <c r="A24" s="2" t="s">
        <v>309</v>
      </c>
      <c r="B24" s="3">
        <v>14.477820421511757</v>
      </c>
      <c r="C24" s="3">
        <v>31.336607626209496</v>
      </c>
      <c r="D24" s="3">
        <v>40.498723199875855</v>
      </c>
      <c r="E24" s="3">
        <v>30.228009447273173</v>
      </c>
      <c r="F24" s="3">
        <v>31.662392199583802</v>
      </c>
      <c r="G24" s="3">
        <v>41.781858215559325</v>
      </c>
      <c r="H24" s="3">
        <v>1.1767474699929396E-2</v>
      </c>
      <c r="I24" s="3">
        <v>19.341171382457276</v>
      </c>
      <c r="J24" s="3">
        <v>44.846090712618221</v>
      </c>
      <c r="K24" s="3">
        <v>21.482916757676222</v>
      </c>
      <c r="L24" s="3">
        <v>29.106213342620517</v>
      </c>
      <c r="M24" s="3">
        <v>11.368062474127203</v>
      </c>
      <c r="N24" s="3">
        <v>24.706217090393412</v>
      </c>
    </row>
    <row r="25" spans="1:14">
      <c r="A25" s="2" t="s">
        <v>310</v>
      </c>
      <c r="B25" s="3">
        <v>61.127621647540188</v>
      </c>
      <c r="C25" s="3">
        <v>39.368689373214707</v>
      </c>
      <c r="D25" s="3">
        <v>53.540284022661254</v>
      </c>
      <c r="E25" s="3">
        <v>41.679039738057526</v>
      </c>
      <c r="F25" s="3">
        <v>37.184862952778509</v>
      </c>
      <c r="G25" s="3">
        <v>69.645563665503218</v>
      </c>
      <c r="H25" s="3">
        <v>7.4656093449264986</v>
      </c>
      <c r="I25" s="3">
        <v>34.237076763558335</v>
      </c>
      <c r="J25" s="3">
        <v>43.541227854711167</v>
      </c>
      <c r="K25" s="3">
        <v>41.828880689378742</v>
      </c>
      <c r="L25" s="3">
        <v>59.122432365784626</v>
      </c>
      <c r="M25" s="3">
        <v>53.424441801785065</v>
      </c>
      <c r="N25" s="3">
        <v>45.118243628731655</v>
      </c>
    </row>
    <row r="26" spans="1:14">
      <c r="A26" s="2" t="s">
        <v>311</v>
      </c>
      <c r="B26" s="3">
        <v>43.102987031858511</v>
      </c>
      <c r="C26" s="3">
        <v>8.4299880609960027</v>
      </c>
      <c r="D26" s="3">
        <v>51.225804293993804</v>
      </c>
      <c r="E26" s="3">
        <v>10.866953270392713</v>
      </c>
      <c r="F26" s="3">
        <v>47.06226039825669</v>
      </c>
      <c r="G26" s="3">
        <v>45.001998082064418</v>
      </c>
      <c r="H26" s="3">
        <v>0.22699023351282843</v>
      </c>
      <c r="I26" s="3">
        <v>15.69305166942673</v>
      </c>
      <c r="J26" s="3">
        <v>48.396901501347713</v>
      </c>
      <c r="K26" s="3">
        <v>40.504035007032002</v>
      </c>
      <c r="L26" s="3">
        <v>28.602870806674783</v>
      </c>
      <c r="M26" s="3">
        <v>33.43339086009798</v>
      </c>
      <c r="N26" s="3">
        <v>28.199757330744557</v>
      </c>
    </row>
    <row r="27" spans="1:14">
      <c r="A27" s="2" t="s">
        <v>312</v>
      </c>
      <c r="B27" s="3">
        <v>42.957353435136831</v>
      </c>
      <c r="C27" s="3">
        <v>36.218328108745787</v>
      </c>
      <c r="D27" s="3">
        <v>46.530658609027505</v>
      </c>
      <c r="E27" s="3">
        <v>22.878012383459886</v>
      </c>
      <c r="F27" s="3">
        <v>44.612956580525783</v>
      </c>
      <c r="G27" s="3">
        <v>60.752919907547295</v>
      </c>
      <c r="H27" s="3">
        <v>8.814434379915383</v>
      </c>
      <c r="I27" s="3">
        <v>32.337785247655731</v>
      </c>
      <c r="J27" s="3">
        <v>42.653623895217486</v>
      </c>
      <c r="K27" s="3">
        <v>58.690096321824569</v>
      </c>
      <c r="L27" s="3">
        <v>41.385632463826788</v>
      </c>
      <c r="M27" s="3">
        <v>15.241720355645464</v>
      </c>
      <c r="N27" s="3">
        <v>36.38736711236055</v>
      </c>
    </row>
    <row r="28" spans="1:14">
      <c r="A28" s="2" t="s">
        <v>313</v>
      </c>
      <c r="B28" s="3">
        <v>34.088467949970443</v>
      </c>
      <c r="C28" s="3">
        <v>22.919239862557561</v>
      </c>
      <c r="D28" s="3">
        <v>72.134573202243431</v>
      </c>
      <c r="E28" s="3">
        <v>30.757113894813557</v>
      </c>
      <c r="F28" s="3">
        <v>29.454344105000935</v>
      </c>
      <c r="G28" s="3">
        <v>69.152632190589912</v>
      </c>
      <c r="H28" s="3">
        <v>13.515419114088413</v>
      </c>
      <c r="I28" s="3">
        <v>30.468269993574673</v>
      </c>
      <c r="J28" s="3">
        <v>51.333589789961358</v>
      </c>
      <c r="K28" s="3">
        <v>12.121947610419715</v>
      </c>
      <c r="L28" s="3">
        <v>47.224922189559273</v>
      </c>
      <c r="M28" s="3">
        <v>28.096174138035714</v>
      </c>
      <c r="N28" s="3">
        <v>34.464168635346347</v>
      </c>
    </row>
    <row r="35" spans="1:14">
      <c r="A35" t="str">
        <f>+A4</f>
        <v>Valores</v>
      </c>
      <c r="B35" t="str">
        <f t="shared" ref="B35:N35" si="0">+B4</f>
        <v>Desarrollo Integral de las personas</v>
      </c>
      <c r="C35" t="str">
        <f t="shared" si="0"/>
        <v>Desempeño Económico</v>
      </c>
      <c r="D35" t="str">
        <f t="shared" si="0"/>
        <v>Empleo</v>
      </c>
      <c r="E35" t="str">
        <f t="shared" si="0"/>
        <v>Gestión Empresarial</v>
      </c>
      <c r="F35" t="str">
        <f t="shared" si="0"/>
        <v>Gestión, Gobiernos e Instituciones</v>
      </c>
      <c r="G35" t="str">
        <f t="shared" si="0"/>
        <v>Infraestructura y Localización</v>
      </c>
      <c r="H35" t="str">
        <f t="shared" si="0"/>
        <v>Internacionalización y Apertura</v>
      </c>
      <c r="I35" t="str">
        <f t="shared" si="0"/>
        <v>Mercados financieros</v>
      </c>
      <c r="J35" t="str">
        <f t="shared" si="0"/>
        <v>Recursos Naturales y Ambiente</v>
      </c>
      <c r="K35" t="str">
        <f t="shared" si="0"/>
        <v>Seguridad Jurídica</v>
      </c>
      <c r="L35" t="str">
        <f t="shared" si="0"/>
        <v>Urbanización</v>
      </c>
      <c r="M35" t="str">
        <f t="shared" si="0"/>
        <v>Habilitantes de Innovación, Ciencia y Tecnología</v>
      </c>
      <c r="N35" t="str">
        <f t="shared" si="0"/>
        <v>Total general</v>
      </c>
    </row>
    <row r="36" spans="1:14">
      <c r="A36" t="str">
        <f t="shared" ref="A36:N36" si="1">+A5</f>
        <v>Promedio de 1. Azuay - Estandar</v>
      </c>
      <c r="B36">
        <f t="shared" si="1"/>
        <v>55.43428888442628</v>
      </c>
      <c r="C36">
        <f t="shared" si="1"/>
        <v>43.441651067617762</v>
      </c>
      <c r="D36">
        <f t="shared" si="1"/>
        <v>76.41402986100718</v>
      </c>
      <c r="E36">
        <f t="shared" si="1"/>
        <v>45.39235203231614</v>
      </c>
      <c r="F36">
        <f t="shared" si="1"/>
        <v>41.712380330867838</v>
      </c>
      <c r="G36">
        <f t="shared" si="1"/>
        <v>75.82068883367036</v>
      </c>
      <c r="H36">
        <f t="shared" si="1"/>
        <v>8.8146405922075957</v>
      </c>
      <c r="I36">
        <f t="shared" si="1"/>
        <v>40.827968000960567</v>
      </c>
      <c r="J36">
        <f t="shared" si="1"/>
        <v>36.781054277739017</v>
      </c>
      <c r="K36">
        <f t="shared" si="1"/>
        <v>24.187850384777683</v>
      </c>
      <c r="L36">
        <f t="shared" si="1"/>
        <v>59.374328697385472</v>
      </c>
      <c r="M36">
        <f t="shared" si="1"/>
        <v>53.278712508208059</v>
      </c>
      <c r="N36">
        <f t="shared" si="1"/>
        <v>47.26361752642601</v>
      </c>
    </row>
    <row r="37" spans="1:14">
      <c r="A37" t="str">
        <f t="shared" ref="A37:N37" si="2">+A6</f>
        <v xml:space="preserve">Promedio de 2. Bolívar - Estándar </v>
      </c>
      <c r="B37">
        <f t="shared" si="2"/>
        <v>34.38189172447467</v>
      </c>
      <c r="C37">
        <f t="shared" si="2"/>
        <v>7.1315725188494845</v>
      </c>
      <c r="D37">
        <f t="shared" si="2"/>
        <v>67.762189731040635</v>
      </c>
      <c r="E37">
        <f t="shared" si="2"/>
        <v>5.2703627652292955</v>
      </c>
      <c r="F37">
        <f t="shared" si="2"/>
        <v>15.105123117855999</v>
      </c>
      <c r="G37">
        <f t="shared" si="2"/>
        <v>68.520252219071111</v>
      </c>
      <c r="H37">
        <f t="shared" si="2"/>
        <v>2.8835177536475163</v>
      </c>
      <c r="I37">
        <f t="shared" si="2"/>
        <v>22.660080781362709</v>
      </c>
      <c r="J37">
        <f t="shared" si="2"/>
        <v>48.34038082608707</v>
      </c>
      <c r="K37">
        <f t="shared" si="2"/>
        <v>28.042750124673233</v>
      </c>
      <c r="L37">
        <f t="shared" si="2"/>
        <v>32.901394509232354</v>
      </c>
      <c r="M37">
        <f t="shared" si="2"/>
        <v>47.084417795590035</v>
      </c>
      <c r="N37">
        <f t="shared" si="2"/>
        <v>29.117784207646618</v>
      </c>
    </row>
    <row r="38" spans="1:14">
      <c r="A38" t="str">
        <f t="shared" ref="A38:N38" si="3">+A7</f>
        <v xml:space="preserve">Promedio de 3. Cañar - Estándar </v>
      </c>
      <c r="B38">
        <f t="shared" si="3"/>
        <v>47.996677936663673</v>
      </c>
      <c r="C38">
        <f t="shared" si="3"/>
        <v>31.604176178786897</v>
      </c>
      <c r="D38">
        <f t="shared" si="3"/>
        <v>53.06149482699373</v>
      </c>
      <c r="E38">
        <f t="shared" si="3"/>
        <v>15.051379258329193</v>
      </c>
      <c r="F38">
        <f t="shared" si="3"/>
        <v>42.124271033701874</v>
      </c>
      <c r="G38">
        <f t="shared" si="3"/>
        <v>72.577684174483906</v>
      </c>
      <c r="H38">
        <f t="shared" si="3"/>
        <v>3.1141087396037648</v>
      </c>
      <c r="I38">
        <f t="shared" si="3"/>
        <v>21.211828446529225</v>
      </c>
      <c r="J38">
        <f t="shared" si="3"/>
        <v>36.710184920092637</v>
      </c>
      <c r="K38">
        <f t="shared" si="3"/>
        <v>55.23927292990868</v>
      </c>
      <c r="L38">
        <f t="shared" si="3"/>
        <v>42.961573900316516</v>
      </c>
      <c r="M38">
        <f t="shared" si="3"/>
        <v>47.879215920654516</v>
      </c>
      <c r="N38">
        <f t="shared" si="3"/>
        <v>38.069774200316871</v>
      </c>
    </row>
    <row r="39" spans="1:14">
      <c r="A39" t="str">
        <f t="shared" ref="A39:N39" si="4">+A8</f>
        <v xml:space="preserve">Promedio de 4. Carchi - Estándar </v>
      </c>
      <c r="B39">
        <f t="shared" si="4"/>
        <v>29.354278162958177</v>
      </c>
      <c r="C39">
        <f t="shared" si="4"/>
        <v>15.945527691485792</v>
      </c>
      <c r="D39">
        <f t="shared" si="4"/>
        <v>48.039440287868011</v>
      </c>
      <c r="E39">
        <f t="shared" si="4"/>
        <v>16.508315152899154</v>
      </c>
      <c r="F39">
        <f t="shared" si="4"/>
        <v>30.969163589978894</v>
      </c>
      <c r="G39">
        <f t="shared" si="4"/>
        <v>69.115480625006995</v>
      </c>
      <c r="H39">
        <f t="shared" si="4"/>
        <v>10.523743121815597</v>
      </c>
      <c r="I39">
        <f t="shared" si="4"/>
        <v>20.209009355427529</v>
      </c>
      <c r="J39">
        <f t="shared" si="4"/>
        <v>41.027299308695703</v>
      </c>
      <c r="K39">
        <f t="shared" si="4"/>
        <v>48.538502722160317</v>
      </c>
      <c r="L39">
        <f t="shared" si="4"/>
        <v>44.328406783331502</v>
      </c>
      <c r="M39">
        <f t="shared" si="4"/>
        <v>41.555451267933158</v>
      </c>
      <c r="N39">
        <f t="shared" si="4"/>
        <v>32.284022596590262</v>
      </c>
    </row>
    <row r="40" spans="1:14">
      <c r="A40" t="str">
        <f t="shared" ref="A40:N40" si="5">+A9</f>
        <v xml:space="preserve">Promedio de 5. Chimborazo - Estándar </v>
      </c>
      <c r="B40">
        <f t="shared" si="5"/>
        <v>45.838133721114446</v>
      </c>
      <c r="C40">
        <f t="shared" si="5"/>
        <v>37.944543791389293</v>
      </c>
      <c r="D40">
        <f t="shared" si="5"/>
        <v>78.001621523719052</v>
      </c>
      <c r="E40">
        <f t="shared" si="5"/>
        <v>21.358314866380166</v>
      </c>
      <c r="F40">
        <f t="shared" si="5"/>
        <v>39.265736116927734</v>
      </c>
      <c r="G40">
        <f t="shared" si="5"/>
        <v>64.50152349703842</v>
      </c>
      <c r="H40">
        <f t="shared" si="5"/>
        <v>2.5351655229673349</v>
      </c>
      <c r="I40">
        <f t="shared" si="5"/>
        <v>21.753220918093671</v>
      </c>
      <c r="J40">
        <f t="shared" si="5"/>
        <v>40.44942862404671</v>
      </c>
      <c r="K40">
        <f t="shared" si="5"/>
        <v>37.052583144122671</v>
      </c>
      <c r="L40">
        <f t="shared" si="5"/>
        <v>34.42597127774247</v>
      </c>
      <c r="M40">
        <f t="shared" si="5"/>
        <v>62.34250575410249</v>
      </c>
      <c r="N40">
        <f t="shared" si="5"/>
        <v>39.785725386044504</v>
      </c>
    </row>
    <row r="41" spans="1:14">
      <c r="A41" t="str">
        <f t="shared" ref="A41:N41" si="6">+A10</f>
        <v xml:space="preserve">Promedio de 6. Cotopaxi - Estándar </v>
      </c>
      <c r="B41">
        <f t="shared" si="6"/>
        <v>28.027966296754386</v>
      </c>
      <c r="C41">
        <f t="shared" si="6"/>
        <v>20.678046491906287</v>
      </c>
      <c r="D41">
        <f t="shared" si="6"/>
        <v>66.730110560407539</v>
      </c>
      <c r="E41">
        <f t="shared" si="6"/>
        <v>23.130795732182285</v>
      </c>
      <c r="F41">
        <f t="shared" si="6"/>
        <v>22.791524109681664</v>
      </c>
      <c r="G41">
        <f t="shared" si="6"/>
        <v>53.418521852718634</v>
      </c>
      <c r="H41">
        <f t="shared" si="6"/>
        <v>27.985914035271623</v>
      </c>
      <c r="I41">
        <f t="shared" si="6"/>
        <v>27.086035466728344</v>
      </c>
      <c r="J41">
        <f t="shared" si="6"/>
        <v>35.919340894704682</v>
      </c>
      <c r="K41">
        <f t="shared" si="6"/>
        <v>15.988962741411985</v>
      </c>
      <c r="L41">
        <f t="shared" si="6"/>
        <v>38.218470724354745</v>
      </c>
      <c r="M41">
        <f t="shared" si="6"/>
        <v>32.806599334436498</v>
      </c>
      <c r="N41">
        <f t="shared" si="6"/>
        <v>31.122110580018873</v>
      </c>
    </row>
    <row r="42" spans="1:14">
      <c r="A42" t="str">
        <f t="shared" ref="A42:N42" si="7">+A11</f>
        <v xml:space="preserve">Promedio de 7. El Oro - Estándar </v>
      </c>
      <c r="B42">
        <f t="shared" si="7"/>
        <v>58.551913583832807</v>
      </c>
      <c r="C42">
        <f t="shared" si="7"/>
        <v>33.373468683659404</v>
      </c>
      <c r="D42">
        <f t="shared" si="7"/>
        <v>59.466182843310214</v>
      </c>
      <c r="E42">
        <f t="shared" si="7"/>
        <v>32.718826236183872</v>
      </c>
      <c r="F42">
        <f t="shared" si="7"/>
        <v>47.679285583442862</v>
      </c>
      <c r="G42">
        <f t="shared" si="7"/>
        <v>70.893353773522435</v>
      </c>
      <c r="H42">
        <f t="shared" si="7"/>
        <v>25.696342709304538</v>
      </c>
      <c r="I42">
        <f t="shared" si="7"/>
        <v>31.574120599908483</v>
      </c>
      <c r="J42">
        <f t="shared" si="7"/>
        <v>39.985356071638442</v>
      </c>
      <c r="K42">
        <f t="shared" si="7"/>
        <v>39.902236181301127</v>
      </c>
      <c r="L42">
        <f t="shared" si="7"/>
        <v>59.210009520353957</v>
      </c>
      <c r="M42">
        <f t="shared" si="7"/>
        <v>28.402203560057021</v>
      </c>
      <c r="N42">
        <f t="shared" si="7"/>
        <v>42.546721470822035</v>
      </c>
    </row>
    <row r="43" spans="1:14">
      <c r="A43" t="str">
        <f t="shared" ref="A43:N43" si="8">+A12</f>
        <v xml:space="preserve">Promedio de 8. Esmeraldas - Estándar </v>
      </c>
      <c r="B43">
        <f t="shared" si="8"/>
        <v>35.449770046105137</v>
      </c>
      <c r="C43">
        <f t="shared" si="8"/>
        <v>20.039651156458525</v>
      </c>
      <c r="D43">
        <f t="shared" si="8"/>
        <v>37.615748605438505</v>
      </c>
      <c r="E43">
        <f t="shared" si="8"/>
        <v>22.948501322677906</v>
      </c>
      <c r="F43">
        <f t="shared" si="8"/>
        <v>20.131725555148694</v>
      </c>
      <c r="G43">
        <f t="shared" si="8"/>
        <v>52.402139878535955</v>
      </c>
      <c r="H43">
        <f t="shared" si="8"/>
        <v>10.190280142922129</v>
      </c>
      <c r="I43">
        <f t="shared" si="8"/>
        <v>16.916211578868687</v>
      </c>
      <c r="J43">
        <f t="shared" si="8"/>
        <v>48.715997682336344</v>
      </c>
      <c r="K43">
        <f t="shared" si="8"/>
        <v>10.277264663899899</v>
      </c>
      <c r="L43">
        <f t="shared" si="8"/>
        <v>38.985044325261768</v>
      </c>
      <c r="M43">
        <f t="shared" si="8"/>
        <v>15.627820967938694</v>
      </c>
      <c r="N43">
        <f t="shared" si="8"/>
        <v>25.319261862750484</v>
      </c>
    </row>
    <row r="44" spans="1:14">
      <c r="A44" t="str">
        <f t="shared" ref="A44:N44" si="9">+A13</f>
        <v xml:space="preserve">Promedio de 9. Galápagos - Estándar </v>
      </c>
      <c r="B44">
        <f t="shared" si="9"/>
        <v>79.964392399555592</v>
      </c>
      <c r="C44">
        <f t="shared" si="9"/>
        <v>47.547021686748131</v>
      </c>
      <c r="D44">
        <f t="shared" si="9"/>
        <v>89.853417899929582</v>
      </c>
      <c r="E44">
        <f t="shared" si="9"/>
        <v>47.256519181103876</v>
      </c>
      <c r="F44">
        <f t="shared" si="9"/>
        <v>74.029681925442702</v>
      </c>
      <c r="G44">
        <f t="shared" si="9"/>
        <v>24.667058362710538</v>
      </c>
      <c r="H44">
        <f t="shared" si="9"/>
        <v>34.588247225839929</v>
      </c>
      <c r="I44">
        <f t="shared" si="9"/>
        <v>39.478535605991659</v>
      </c>
      <c r="J44">
        <f t="shared" si="9"/>
        <v>50</v>
      </c>
      <c r="K44">
        <f t="shared" si="9"/>
        <v>78.740250317897022</v>
      </c>
      <c r="L44">
        <f t="shared" si="9"/>
        <v>64.849247259041078</v>
      </c>
      <c r="M44">
        <f t="shared" si="9"/>
        <v>68.291430792095767</v>
      </c>
      <c r="N44">
        <f t="shared" si="9"/>
        <v>57.823785167313225</v>
      </c>
    </row>
    <row r="45" spans="1:14">
      <c r="A45" t="str">
        <f t="shared" ref="A45:N45" si="10">+A14</f>
        <v xml:space="preserve">Promedio de 10. Guayas - Estándar </v>
      </c>
      <c r="B45">
        <f t="shared" si="10"/>
        <v>32.868514748600624</v>
      </c>
      <c r="C45">
        <f t="shared" si="10"/>
        <v>42.019014291409171</v>
      </c>
      <c r="D45">
        <f t="shared" si="10"/>
        <v>25.985485337513303</v>
      </c>
      <c r="E45">
        <f t="shared" si="10"/>
        <v>67.129352145025635</v>
      </c>
      <c r="F45">
        <f t="shared" si="10"/>
        <v>32.590112305645057</v>
      </c>
      <c r="G45">
        <f t="shared" si="10"/>
        <v>72.937120904801702</v>
      </c>
      <c r="H45">
        <f t="shared" si="10"/>
        <v>48.468861015080577</v>
      </c>
      <c r="I45">
        <f t="shared" si="10"/>
        <v>58.982295857430486</v>
      </c>
      <c r="J45">
        <f t="shared" si="10"/>
        <v>45.870857135991358</v>
      </c>
      <c r="K45">
        <f t="shared" si="10"/>
        <v>4.2577554880047366</v>
      </c>
      <c r="L45">
        <f t="shared" si="10"/>
        <v>67.785111808675737</v>
      </c>
      <c r="M45">
        <f t="shared" si="10"/>
        <v>32.450079127539567</v>
      </c>
      <c r="N45">
        <f t="shared" si="10"/>
        <v>44.842041874029761</v>
      </c>
    </row>
    <row r="46" spans="1:14">
      <c r="A46" t="str">
        <f t="shared" ref="A46:N46" si="11">+A15</f>
        <v xml:space="preserve">Promedio de 11. Imbabura -Estándar </v>
      </c>
      <c r="B46">
        <f t="shared" si="11"/>
        <v>61.060482317960712</v>
      </c>
      <c r="C46">
        <f t="shared" si="11"/>
        <v>33.874953162107523</v>
      </c>
      <c r="D46">
        <f t="shared" si="11"/>
        <v>47.057393937763777</v>
      </c>
      <c r="E46">
        <f t="shared" si="11"/>
        <v>25.490606838547293</v>
      </c>
      <c r="F46">
        <f t="shared" si="11"/>
        <v>52.930207951140041</v>
      </c>
      <c r="G46">
        <f t="shared" si="11"/>
        <v>70.035601866878295</v>
      </c>
      <c r="H46">
        <f t="shared" si="11"/>
        <v>19.227205647001888</v>
      </c>
      <c r="I46">
        <f t="shared" si="11"/>
        <v>36.215753539402016</v>
      </c>
      <c r="J46">
        <f t="shared" si="11"/>
        <v>42.457665346413563</v>
      </c>
      <c r="K46">
        <f t="shared" si="11"/>
        <v>45.373492792027349</v>
      </c>
      <c r="L46">
        <f t="shared" si="11"/>
        <v>51.505625432295822</v>
      </c>
      <c r="M46">
        <f t="shared" si="11"/>
        <v>66.898228095033318</v>
      </c>
      <c r="N46">
        <f t="shared" si="11"/>
        <v>46.137565285277503</v>
      </c>
    </row>
    <row r="47" spans="1:14">
      <c r="A47" t="str">
        <f t="shared" ref="A47:N47" si="12">+A16</f>
        <v xml:space="preserve">Promedio de 12. Loja - Estándar </v>
      </c>
      <c r="B47">
        <f t="shared" si="12"/>
        <v>51.917747831003169</v>
      </c>
      <c r="C47">
        <f t="shared" si="12"/>
        <v>20.138577731280769</v>
      </c>
      <c r="D47">
        <f t="shared" si="12"/>
        <v>42.825466440078458</v>
      </c>
      <c r="E47">
        <f t="shared" si="12"/>
        <v>23.178255664999828</v>
      </c>
      <c r="F47">
        <f t="shared" si="12"/>
        <v>28.386724855994409</v>
      </c>
      <c r="G47">
        <f t="shared" si="12"/>
        <v>60.977044891808504</v>
      </c>
      <c r="H47">
        <f t="shared" si="12"/>
        <v>4.0366926406847435E-2</v>
      </c>
      <c r="I47">
        <f t="shared" si="12"/>
        <v>19.596099345560066</v>
      </c>
      <c r="J47">
        <f t="shared" si="12"/>
        <v>31.652729935089518</v>
      </c>
      <c r="K47">
        <f t="shared" si="12"/>
        <v>19.848526100904159</v>
      </c>
      <c r="L47">
        <f t="shared" si="12"/>
        <v>36.835522653354914</v>
      </c>
      <c r="M47">
        <f t="shared" si="12"/>
        <v>66.425814998907455</v>
      </c>
      <c r="N47">
        <f t="shared" si="12"/>
        <v>33.559846028703305</v>
      </c>
    </row>
    <row r="48" spans="1:14">
      <c r="A48" t="str">
        <f t="shared" ref="A48:N48" si="13">+A17</f>
        <v xml:space="preserve">Promedio de 13. Los Ríos - Estándar </v>
      </c>
      <c r="B48">
        <f t="shared" si="13"/>
        <v>40.471535582048411</v>
      </c>
      <c r="C48">
        <f t="shared" si="13"/>
        <v>31.95220802004475</v>
      </c>
      <c r="D48">
        <f t="shared" si="13"/>
        <v>31.185606853408363</v>
      </c>
      <c r="E48">
        <f t="shared" si="13"/>
        <v>20.953204116658611</v>
      </c>
      <c r="F48">
        <f t="shared" si="13"/>
        <v>29.255111597348947</v>
      </c>
      <c r="G48">
        <f t="shared" si="13"/>
        <v>57.036263076967678</v>
      </c>
      <c r="H48">
        <f t="shared" si="13"/>
        <v>13.657342699191002</v>
      </c>
      <c r="I48">
        <f t="shared" si="13"/>
        <v>22.647380652831458</v>
      </c>
      <c r="J48">
        <f t="shared" si="13"/>
        <v>47.560975609756099</v>
      </c>
      <c r="K48">
        <f t="shared" si="13"/>
        <v>38.538321374367811</v>
      </c>
      <c r="L48">
        <f t="shared" si="13"/>
        <v>49.502485111248056</v>
      </c>
      <c r="M48">
        <f t="shared" si="13"/>
        <v>23.265695665793974</v>
      </c>
      <c r="N48">
        <f t="shared" si="13"/>
        <v>32.51532427445084</v>
      </c>
    </row>
    <row r="49" spans="1:14">
      <c r="A49" t="str">
        <f t="shared" ref="A49:N49" si="14">+A18</f>
        <v xml:space="preserve">Promedio de 14. Manabí - Estáncar </v>
      </c>
      <c r="B49">
        <f t="shared" si="14"/>
        <v>37.120239027259224</v>
      </c>
      <c r="C49">
        <f t="shared" si="14"/>
        <v>19.0282919812215</v>
      </c>
      <c r="D49">
        <f t="shared" si="14"/>
        <v>50.544617501190984</v>
      </c>
      <c r="E49">
        <f t="shared" si="14"/>
        <v>24.86448833978141</v>
      </c>
      <c r="F49">
        <f t="shared" si="14"/>
        <v>21.122436683727681</v>
      </c>
      <c r="G49">
        <f t="shared" si="14"/>
        <v>61.802764809619589</v>
      </c>
      <c r="H49">
        <f t="shared" si="14"/>
        <v>17.468238048778058</v>
      </c>
      <c r="I49">
        <f t="shared" si="14"/>
        <v>28.737768046720685</v>
      </c>
      <c r="J49">
        <f t="shared" si="14"/>
        <v>49.314301937270912</v>
      </c>
      <c r="K49">
        <f t="shared" si="14"/>
        <v>10.000836479091461</v>
      </c>
      <c r="L49">
        <f t="shared" si="14"/>
        <v>46.538154825038639</v>
      </c>
      <c r="M49">
        <f t="shared" si="14"/>
        <v>24.856829692083213</v>
      </c>
      <c r="N49">
        <f t="shared" si="14"/>
        <v>30.762613737763679</v>
      </c>
    </row>
    <row r="50" spans="1:14">
      <c r="A50" t="str">
        <f t="shared" ref="A50:N50" si="15">+A19</f>
        <v xml:space="preserve">Promedio de 15. Morona Santiago - Estáncar </v>
      </c>
      <c r="B50">
        <f t="shared" si="15"/>
        <v>36.471901139980908</v>
      </c>
      <c r="C50">
        <f t="shared" si="15"/>
        <v>21.137930110404461</v>
      </c>
      <c r="D50">
        <f t="shared" si="15"/>
        <v>68.7910406701927</v>
      </c>
      <c r="E50">
        <f t="shared" si="15"/>
        <v>14.086170050435872</v>
      </c>
      <c r="F50">
        <f t="shared" si="15"/>
        <v>54.198383458697755</v>
      </c>
      <c r="G50">
        <f t="shared" si="15"/>
        <v>44.759978409603498</v>
      </c>
      <c r="H50">
        <f t="shared" si="15"/>
        <v>0.99590557908401012</v>
      </c>
      <c r="I50">
        <f t="shared" si="15"/>
        <v>16.445318224507808</v>
      </c>
      <c r="J50">
        <f t="shared" si="15"/>
        <v>46.453532386813194</v>
      </c>
      <c r="K50">
        <f t="shared" si="15"/>
        <v>50.5463800784051</v>
      </c>
      <c r="L50">
        <f t="shared" si="15"/>
        <v>18.556170745663248</v>
      </c>
      <c r="M50">
        <f t="shared" si="15"/>
        <v>12.320977792866355</v>
      </c>
      <c r="N50">
        <f t="shared" si="15"/>
        <v>28.676271751502192</v>
      </c>
    </row>
    <row r="51" spans="1:14">
      <c r="A51" t="str">
        <f t="shared" ref="A51:N51" si="16">+A20</f>
        <v xml:space="preserve">Promedio de 16. Napo - Estáncar </v>
      </c>
      <c r="B51">
        <f t="shared" si="16"/>
        <v>33.860137384586366</v>
      </c>
      <c r="C51">
        <f t="shared" si="16"/>
        <v>15.298410083637878</v>
      </c>
      <c r="D51">
        <f t="shared" si="16"/>
        <v>46.328498411071408</v>
      </c>
      <c r="E51">
        <f t="shared" si="16"/>
        <v>8.8619893064024389</v>
      </c>
      <c r="F51">
        <f t="shared" si="16"/>
        <v>42.494807102339834</v>
      </c>
      <c r="G51">
        <f t="shared" si="16"/>
        <v>45.092046531236306</v>
      </c>
      <c r="H51">
        <f t="shared" si="16"/>
        <v>3.8301203656502691</v>
      </c>
      <c r="I51">
        <f t="shared" si="16"/>
        <v>12.946020471393389</v>
      </c>
      <c r="J51">
        <f t="shared" si="16"/>
        <v>48.978773587953803</v>
      </c>
      <c r="K51">
        <f t="shared" si="16"/>
        <v>28.925593958837496</v>
      </c>
      <c r="L51">
        <f t="shared" si="16"/>
        <v>38.461139620731522</v>
      </c>
      <c r="M51">
        <f t="shared" si="16"/>
        <v>27.56008646622923</v>
      </c>
      <c r="N51">
        <f t="shared" si="16"/>
        <v>26.931761238612374</v>
      </c>
    </row>
    <row r="52" spans="1:14">
      <c r="A52" t="str">
        <f t="shared" ref="A52:N52" si="17">+A21</f>
        <v xml:space="preserve">Promedio de 17. Francisco de Orellana - Estándar </v>
      </c>
      <c r="B52">
        <f t="shared" si="17"/>
        <v>40.223611462571299</v>
      </c>
      <c r="C52">
        <f t="shared" si="17"/>
        <v>55.142956952798293</v>
      </c>
      <c r="D52">
        <f t="shared" si="17"/>
        <v>56.90917388057315</v>
      </c>
      <c r="E52">
        <f t="shared" si="17"/>
        <v>28.96793209774501</v>
      </c>
      <c r="F52">
        <f t="shared" si="17"/>
        <v>54.664802899120524</v>
      </c>
      <c r="G52">
        <f t="shared" si="17"/>
        <v>32.96747888318167</v>
      </c>
      <c r="H52">
        <f t="shared" si="17"/>
        <v>0.43359124897529111</v>
      </c>
      <c r="I52">
        <f t="shared" si="17"/>
        <v>20.116634877435551</v>
      </c>
      <c r="J52">
        <f t="shared" si="17"/>
        <v>48.524455421574501</v>
      </c>
      <c r="K52">
        <f t="shared" si="17"/>
        <v>43.102225250239108</v>
      </c>
      <c r="L52">
        <f t="shared" si="17"/>
        <v>27.91700068781509</v>
      </c>
      <c r="M52">
        <f t="shared" si="17"/>
        <v>11.919709125449563</v>
      </c>
      <c r="N52">
        <f t="shared" si="17"/>
        <v>34.211132719284038</v>
      </c>
    </row>
    <row r="53" spans="1:14">
      <c r="A53" t="str">
        <f t="shared" ref="A53:N53" si="18">+A22</f>
        <v xml:space="preserve">Promedio de 18. Pastaza - Estáncar </v>
      </c>
      <c r="B53">
        <f t="shared" si="18"/>
        <v>43.965655057298569</v>
      </c>
      <c r="C53">
        <f t="shared" si="18"/>
        <v>22.036400969299923</v>
      </c>
      <c r="D53">
        <f t="shared" si="18"/>
        <v>66.291825928653367</v>
      </c>
      <c r="E53">
        <f t="shared" si="18"/>
        <v>15.065458459918071</v>
      </c>
      <c r="F53">
        <f t="shared" si="18"/>
        <v>38.246963807877805</v>
      </c>
      <c r="G53">
        <f t="shared" si="18"/>
        <v>45.182755115161413</v>
      </c>
      <c r="H53">
        <f t="shared" si="18"/>
        <v>1.3552522661752147</v>
      </c>
      <c r="I53">
        <f t="shared" si="18"/>
        <v>21.144117119493924</v>
      </c>
      <c r="J53">
        <f t="shared" si="18"/>
        <v>49.637398478331342</v>
      </c>
      <c r="K53">
        <f t="shared" si="18"/>
        <v>39.997969817535733</v>
      </c>
      <c r="L53">
        <f t="shared" si="18"/>
        <v>29.597979280859885</v>
      </c>
      <c r="M53">
        <f t="shared" si="18"/>
        <v>50.442985348992707</v>
      </c>
      <c r="N53">
        <f t="shared" si="18"/>
        <v>33.518594197138611</v>
      </c>
    </row>
    <row r="54" spans="1:14">
      <c r="A54" t="str">
        <f t="shared" ref="A54:N54" si="19">+A23</f>
        <v xml:space="preserve">Promedio de 19. Pichincha - Estándar </v>
      </c>
      <c r="B54">
        <f t="shared" si="19"/>
        <v>76.773191058661112</v>
      </c>
      <c r="C54">
        <f t="shared" si="19"/>
        <v>79.713315598302742</v>
      </c>
      <c r="D54">
        <f t="shared" si="19"/>
        <v>52.116710647134788</v>
      </c>
      <c r="E54">
        <f t="shared" si="19"/>
        <v>81.019166845981928</v>
      </c>
      <c r="F54">
        <f t="shared" si="19"/>
        <v>63.622607841463335</v>
      </c>
      <c r="G54">
        <f t="shared" si="19"/>
        <v>81.071609676744174</v>
      </c>
      <c r="H54">
        <f t="shared" si="19"/>
        <v>82.301898322812576</v>
      </c>
      <c r="I54">
        <f t="shared" si="19"/>
        <v>78.97715440132761</v>
      </c>
      <c r="J54">
        <f t="shared" si="19"/>
        <v>42.959669561547855</v>
      </c>
      <c r="K54">
        <f t="shared" si="19"/>
        <v>34.958992205532404</v>
      </c>
      <c r="L54">
        <f t="shared" si="19"/>
        <v>87.620446096752403</v>
      </c>
      <c r="M54">
        <f t="shared" si="19"/>
        <v>68.453370687455973</v>
      </c>
      <c r="N54">
        <f t="shared" si="19"/>
        <v>72.244617763509083</v>
      </c>
    </row>
    <row r="55" spans="1:14">
      <c r="A55" t="str">
        <f t="shared" ref="A55:N55" si="20">+A24</f>
        <v xml:space="preserve">Promedio de 20. Sucumbíos - Estáncar </v>
      </c>
      <c r="B55">
        <f t="shared" si="20"/>
        <v>14.477820421511757</v>
      </c>
      <c r="C55">
        <f t="shared" si="20"/>
        <v>31.336607626209496</v>
      </c>
      <c r="D55">
        <f t="shared" si="20"/>
        <v>40.498723199875855</v>
      </c>
      <c r="E55">
        <f t="shared" si="20"/>
        <v>30.228009447273173</v>
      </c>
      <c r="F55">
        <f t="shared" si="20"/>
        <v>31.662392199583802</v>
      </c>
      <c r="G55">
        <f t="shared" si="20"/>
        <v>41.781858215559325</v>
      </c>
      <c r="H55">
        <f t="shared" si="20"/>
        <v>1.1767474699929396E-2</v>
      </c>
      <c r="I55">
        <f t="shared" si="20"/>
        <v>19.341171382457276</v>
      </c>
      <c r="J55">
        <f t="shared" si="20"/>
        <v>44.846090712618221</v>
      </c>
      <c r="K55">
        <f t="shared" si="20"/>
        <v>21.482916757676222</v>
      </c>
      <c r="L55">
        <f t="shared" si="20"/>
        <v>29.106213342620517</v>
      </c>
      <c r="M55">
        <f t="shared" si="20"/>
        <v>11.368062474127203</v>
      </c>
      <c r="N55">
        <f t="shared" si="20"/>
        <v>24.706217090393412</v>
      </c>
    </row>
    <row r="56" spans="1:14">
      <c r="A56" t="str">
        <f t="shared" ref="A56:N56" si="21">+A25</f>
        <v xml:space="preserve">Promedio de 21. Tungurahua - Estáncar </v>
      </c>
      <c r="B56">
        <f t="shared" si="21"/>
        <v>61.127621647540188</v>
      </c>
      <c r="C56">
        <f t="shared" si="21"/>
        <v>39.368689373214707</v>
      </c>
      <c r="D56">
        <f t="shared" si="21"/>
        <v>53.540284022661254</v>
      </c>
      <c r="E56">
        <f t="shared" si="21"/>
        <v>41.679039738057526</v>
      </c>
      <c r="F56">
        <f t="shared" si="21"/>
        <v>37.184862952778509</v>
      </c>
      <c r="G56">
        <f t="shared" si="21"/>
        <v>69.645563665503218</v>
      </c>
      <c r="H56">
        <f t="shared" si="21"/>
        <v>7.4656093449264986</v>
      </c>
      <c r="I56">
        <f t="shared" si="21"/>
        <v>34.237076763558335</v>
      </c>
      <c r="J56">
        <f t="shared" si="21"/>
        <v>43.541227854711167</v>
      </c>
      <c r="K56">
        <f t="shared" si="21"/>
        <v>41.828880689378742</v>
      </c>
      <c r="L56">
        <f t="shared" si="21"/>
        <v>59.122432365784626</v>
      </c>
      <c r="M56">
        <f t="shared" si="21"/>
        <v>53.424441801785065</v>
      </c>
      <c r="N56">
        <f t="shared" si="21"/>
        <v>45.118243628731655</v>
      </c>
    </row>
    <row r="57" spans="1:14">
      <c r="A57" t="str">
        <f t="shared" ref="A57:N57" si="22">+A26</f>
        <v xml:space="preserve">Promedio de 22. Zamora Chinchipe - Estándar </v>
      </c>
      <c r="B57">
        <f t="shared" si="22"/>
        <v>43.102987031858511</v>
      </c>
      <c r="C57">
        <f t="shared" si="22"/>
        <v>8.4299880609960027</v>
      </c>
      <c r="D57">
        <f t="shared" si="22"/>
        <v>51.225804293993804</v>
      </c>
      <c r="E57">
        <f t="shared" si="22"/>
        <v>10.866953270392713</v>
      </c>
      <c r="F57">
        <f t="shared" si="22"/>
        <v>47.06226039825669</v>
      </c>
      <c r="G57">
        <f t="shared" si="22"/>
        <v>45.001998082064418</v>
      </c>
      <c r="H57">
        <f t="shared" si="22"/>
        <v>0.22699023351282843</v>
      </c>
      <c r="I57">
        <f t="shared" si="22"/>
        <v>15.69305166942673</v>
      </c>
      <c r="J57">
        <f t="shared" si="22"/>
        <v>48.396901501347713</v>
      </c>
      <c r="K57">
        <f t="shared" si="22"/>
        <v>40.504035007032002</v>
      </c>
      <c r="L57">
        <f t="shared" si="22"/>
        <v>28.602870806674783</v>
      </c>
      <c r="M57">
        <f t="shared" si="22"/>
        <v>33.43339086009798</v>
      </c>
      <c r="N57">
        <f t="shared" si="22"/>
        <v>28.199757330744557</v>
      </c>
    </row>
    <row r="58" spans="1:14">
      <c r="A58" t="str">
        <f t="shared" ref="A58:N58" si="23">+A27</f>
        <v>Promedio de 23. Santa Elena</v>
      </c>
      <c r="B58">
        <f t="shared" si="23"/>
        <v>42.957353435136831</v>
      </c>
      <c r="C58">
        <f t="shared" si="23"/>
        <v>36.218328108745787</v>
      </c>
      <c r="D58">
        <f t="shared" si="23"/>
        <v>46.530658609027505</v>
      </c>
      <c r="E58">
        <f t="shared" si="23"/>
        <v>22.878012383459886</v>
      </c>
      <c r="F58">
        <f t="shared" si="23"/>
        <v>44.612956580525783</v>
      </c>
      <c r="G58">
        <f t="shared" si="23"/>
        <v>60.752919907547295</v>
      </c>
      <c r="H58">
        <f t="shared" si="23"/>
        <v>8.814434379915383</v>
      </c>
      <c r="I58">
        <f t="shared" si="23"/>
        <v>32.337785247655731</v>
      </c>
      <c r="J58">
        <f t="shared" si="23"/>
        <v>42.653623895217486</v>
      </c>
      <c r="K58">
        <f t="shared" si="23"/>
        <v>58.690096321824569</v>
      </c>
      <c r="L58">
        <f t="shared" si="23"/>
        <v>41.385632463826788</v>
      </c>
      <c r="M58">
        <f t="shared" si="23"/>
        <v>15.241720355645464</v>
      </c>
      <c r="N58">
        <f t="shared" si="23"/>
        <v>36.38736711236055</v>
      </c>
    </row>
    <row r="59" spans="1:14">
      <c r="A59" t="str">
        <f t="shared" ref="A59:N59" si="24">+A28</f>
        <v>Promedio de 24. Santo Domingo de los Tsachilas</v>
      </c>
      <c r="B59">
        <f t="shared" si="24"/>
        <v>34.088467949970443</v>
      </c>
      <c r="C59">
        <f t="shared" si="24"/>
        <v>22.919239862557561</v>
      </c>
      <c r="D59">
        <f t="shared" si="24"/>
        <v>72.134573202243431</v>
      </c>
      <c r="E59">
        <f t="shared" si="24"/>
        <v>30.757113894813557</v>
      </c>
      <c r="F59">
        <f t="shared" si="24"/>
        <v>29.454344105000935</v>
      </c>
      <c r="G59">
        <f t="shared" si="24"/>
        <v>69.152632190589912</v>
      </c>
      <c r="H59">
        <f t="shared" si="24"/>
        <v>13.515419114088413</v>
      </c>
      <c r="I59">
        <f t="shared" si="24"/>
        <v>30.468269993574673</v>
      </c>
      <c r="J59">
        <f t="shared" si="24"/>
        <v>51.333589789961358</v>
      </c>
      <c r="K59">
        <f t="shared" si="24"/>
        <v>12.121947610419715</v>
      </c>
      <c r="L59">
        <f t="shared" si="24"/>
        <v>47.224922189559273</v>
      </c>
      <c r="M59">
        <f t="shared" si="24"/>
        <v>28.096174138035714</v>
      </c>
      <c r="N59">
        <f t="shared" si="24"/>
        <v>34.464168635346347</v>
      </c>
    </row>
    <row r="68" spans="1:14">
      <c r="A68" t="s">
        <v>314</v>
      </c>
    </row>
    <row r="69" spans="1:14">
      <c r="B69" s="12">
        <f>+VLOOKUP(B70,'Indice por pilar'!$B$9:$C$20,2,FALSE)</f>
        <v>0.05</v>
      </c>
      <c r="C69" s="12">
        <f>+VLOOKUP(C70,'Indice por pilar'!$B$9:$C$20,2,FALSE)</f>
        <v>0.15</v>
      </c>
      <c r="D69" s="12">
        <f>+VLOOKUP(D70,'Indice por pilar'!$B$9:$C$20,2,FALSE)</f>
        <v>0.1</v>
      </c>
      <c r="E69" s="12">
        <f>+VLOOKUP(E70,'Indice por pilar'!$B$9:$C$20,2,FALSE)</f>
        <v>0.1</v>
      </c>
      <c r="F69" s="12">
        <f>+VLOOKUP(F70,'Indice por pilar'!$B$9:$C$20,2,FALSE)</f>
        <v>0.05</v>
      </c>
      <c r="G69" s="12">
        <f>+VLOOKUP(G70,'Indice por pilar'!$B$9:$C$20,2,FALSE)</f>
        <v>0.1</v>
      </c>
      <c r="H69" s="12">
        <f>+VLOOKUP(H70,'Indice por pilar'!$B$9:$C$20,2,FALSE)</f>
        <v>0.1</v>
      </c>
      <c r="I69" s="12">
        <f>+VLOOKUP(I70,'Indice por pilar'!$B$9:$C$20,2,FALSE)</f>
        <v>0.1</v>
      </c>
      <c r="J69" s="12">
        <f>+VLOOKUP(J70,'Indice por pilar'!$B$9:$C$20,2,FALSE)</f>
        <v>0.05</v>
      </c>
      <c r="K69" s="12">
        <f>+VLOOKUP(K70,'Indice por pilar'!$B$9:$C$20,2,FALSE)</f>
        <v>0.05</v>
      </c>
      <c r="L69" s="12">
        <f>+VLOOKUP(L70,'Indice por pilar'!$B$9:$C$20,2,FALSE)</f>
        <v>0.1</v>
      </c>
      <c r="M69" s="12">
        <f>+VLOOKUP(M70,'Indice por pilar'!$B$9:$C$20,2,FALSE)</f>
        <v>0.05</v>
      </c>
      <c r="N69" s="12">
        <f>+SUM(B69:M69)</f>
        <v>1</v>
      </c>
    </row>
    <row r="70" spans="1:14">
      <c r="A70" t="str">
        <f>+A35</f>
        <v>Valores</v>
      </c>
      <c r="B70" t="str">
        <f t="shared" ref="B70:N70" si="25">+B35</f>
        <v>Desarrollo Integral de las personas</v>
      </c>
      <c r="C70" t="str">
        <f t="shared" si="25"/>
        <v>Desempeño Económico</v>
      </c>
      <c r="D70" t="str">
        <f t="shared" si="25"/>
        <v>Empleo</v>
      </c>
      <c r="E70" t="str">
        <f t="shared" si="25"/>
        <v>Gestión Empresarial</v>
      </c>
      <c r="F70" t="str">
        <f t="shared" si="25"/>
        <v>Gestión, Gobiernos e Instituciones</v>
      </c>
      <c r="G70" t="str">
        <f t="shared" si="25"/>
        <v>Infraestructura y Localización</v>
      </c>
      <c r="H70" t="str">
        <f t="shared" si="25"/>
        <v>Internacionalización y Apertura</v>
      </c>
      <c r="I70" t="str">
        <f t="shared" si="25"/>
        <v>Mercados financieros</v>
      </c>
      <c r="J70" t="str">
        <f t="shared" si="25"/>
        <v>Recursos Naturales y Ambiente</v>
      </c>
      <c r="K70" t="str">
        <f t="shared" si="25"/>
        <v>Seguridad Jurídica</v>
      </c>
      <c r="L70" t="str">
        <f t="shared" si="25"/>
        <v>Urbanización</v>
      </c>
      <c r="M70" t="str">
        <f t="shared" si="25"/>
        <v>Habilitantes de Innovación, Ciencia y Tecnología</v>
      </c>
      <c r="N70" t="str">
        <f t="shared" si="25"/>
        <v>Total general</v>
      </c>
    </row>
    <row r="71" spans="1:14">
      <c r="A71" t="str">
        <f t="shared" ref="A71:A94" si="26">+A36</f>
        <v>Promedio de 1. Azuay - Estandar</v>
      </c>
      <c r="B71">
        <f>+B36*$B$69</f>
        <v>2.7717144442213142</v>
      </c>
      <c r="C71">
        <f>+C36*$C$69</f>
        <v>6.516247660142664</v>
      </c>
      <c r="D71">
        <f>+D36*$D$69</f>
        <v>7.6414029861007187</v>
      </c>
      <c r="E71">
        <f>+E36*$E$69</f>
        <v>4.5392352032316143</v>
      </c>
      <c r="F71">
        <f>+F36*$F$69</f>
        <v>2.0856190165433919</v>
      </c>
      <c r="G71">
        <f>+G36*$G$69</f>
        <v>7.582068883367036</v>
      </c>
      <c r="H71">
        <f>+H36*$H$69</f>
        <v>0.88146405922075965</v>
      </c>
      <c r="I71">
        <f>+I36*$I$69</f>
        <v>4.0827968000960571</v>
      </c>
      <c r="J71">
        <f>+J36*$J$69</f>
        <v>1.839052713886951</v>
      </c>
      <c r="K71">
        <f>+K36*$K$69</f>
        <v>1.2093925192388841</v>
      </c>
      <c r="L71">
        <f>+L36*$L$69</f>
        <v>5.9374328697385472</v>
      </c>
      <c r="M71">
        <f>+M36*$M$69</f>
        <v>2.663935625410403</v>
      </c>
      <c r="N71" s="13">
        <f>+SUM(B71:M71)</f>
        <v>47.750362781198334</v>
      </c>
    </row>
    <row r="72" spans="1:14">
      <c r="A72" t="str">
        <f t="shared" si="26"/>
        <v xml:space="preserve">Promedio de 2. Bolívar - Estándar </v>
      </c>
      <c r="B72">
        <f t="shared" ref="B72:B94" si="27">+B37*$B$69</f>
        <v>1.7190945862237337</v>
      </c>
      <c r="C72">
        <f t="shared" ref="C72:C94" si="28">+C37*$C$69</f>
        <v>1.0697358778274226</v>
      </c>
      <c r="D72">
        <f t="shared" ref="D72:D94" si="29">+D37*$D$69</f>
        <v>6.7762189731040641</v>
      </c>
      <c r="E72">
        <f t="shared" ref="E72:E94" si="30">+E37*$E$69</f>
        <v>0.52703627652292961</v>
      </c>
      <c r="F72">
        <f t="shared" ref="F72:F94" si="31">+F37*$F$69</f>
        <v>0.75525615589280004</v>
      </c>
      <c r="G72">
        <f t="shared" ref="G72:G94" si="32">+G37*$G$69</f>
        <v>6.8520252219071116</v>
      </c>
      <c r="H72">
        <f t="shared" ref="H72:H94" si="33">+H37*$H$69</f>
        <v>0.28835177536475165</v>
      </c>
      <c r="I72">
        <f t="shared" ref="I72:I94" si="34">+I37*$I$69</f>
        <v>2.266008078136271</v>
      </c>
      <c r="J72">
        <f t="shared" ref="J72:J94" si="35">+J37*$J$69</f>
        <v>2.4170190413043535</v>
      </c>
      <c r="K72">
        <f t="shared" ref="K72:K94" si="36">+K37*$K$69</f>
        <v>1.4021375062336618</v>
      </c>
      <c r="L72">
        <f t="shared" ref="L72:L94" si="37">+L37*$L$69</f>
        <v>3.2901394509232356</v>
      </c>
      <c r="M72">
        <f t="shared" ref="M72:M94" si="38">+M37*$M$69</f>
        <v>2.3542208897795018</v>
      </c>
      <c r="N72" s="13">
        <f t="shared" ref="N72:N94" si="39">+SUM(B72:M72)</f>
        <v>29.717243833219836</v>
      </c>
    </row>
    <row r="73" spans="1:14">
      <c r="A73" t="str">
        <f t="shared" si="26"/>
        <v xml:space="preserve">Promedio de 3. Cañar - Estándar </v>
      </c>
      <c r="B73">
        <f t="shared" si="27"/>
        <v>2.3998338968331838</v>
      </c>
      <c r="C73">
        <f t="shared" si="28"/>
        <v>4.740626426818034</v>
      </c>
      <c r="D73">
        <f t="shared" si="29"/>
        <v>5.3061494826993734</v>
      </c>
      <c r="E73">
        <f t="shared" si="30"/>
        <v>1.5051379258329194</v>
      </c>
      <c r="F73">
        <f t="shared" si="31"/>
        <v>2.1062135516850939</v>
      </c>
      <c r="G73">
        <f t="shared" si="32"/>
        <v>7.257768417448391</v>
      </c>
      <c r="H73">
        <f t="shared" si="33"/>
        <v>0.31141087396037648</v>
      </c>
      <c r="I73">
        <f t="shared" si="34"/>
        <v>2.1211828446529224</v>
      </c>
      <c r="J73">
        <f t="shared" si="35"/>
        <v>1.8355092460046318</v>
      </c>
      <c r="K73">
        <f t="shared" si="36"/>
        <v>2.7619636464954342</v>
      </c>
      <c r="L73">
        <f t="shared" si="37"/>
        <v>4.2961573900316514</v>
      </c>
      <c r="M73">
        <f t="shared" si="38"/>
        <v>2.3939607960327258</v>
      </c>
      <c r="N73" s="13">
        <f t="shared" si="39"/>
        <v>37.035914498494733</v>
      </c>
    </row>
    <row r="74" spans="1:14">
      <c r="A74" t="str">
        <f t="shared" si="26"/>
        <v xml:space="preserve">Promedio de 4. Carchi - Estándar </v>
      </c>
      <c r="B74">
        <f t="shared" si="27"/>
        <v>1.4677139081479089</v>
      </c>
      <c r="C74">
        <f t="shared" si="28"/>
        <v>2.3918291537228686</v>
      </c>
      <c r="D74">
        <f t="shared" si="29"/>
        <v>4.8039440287868018</v>
      </c>
      <c r="E74">
        <f t="shared" si="30"/>
        <v>1.6508315152899156</v>
      </c>
      <c r="F74">
        <f t="shared" si="31"/>
        <v>1.5484581794989447</v>
      </c>
      <c r="G74">
        <f t="shared" si="32"/>
        <v>6.9115480625006995</v>
      </c>
      <c r="H74">
        <f t="shared" si="33"/>
        <v>1.0523743121815599</v>
      </c>
      <c r="I74">
        <f t="shared" si="34"/>
        <v>2.0209009355427532</v>
      </c>
      <c r="J74">
        <f t="shared" si="35"/>
        <v>2.0513649654347854</v>
      </c>
      <c r="K74">
        <f t="shared" si="36"/>
        <v>2.4269251361080162</v>
      </c>
      <c r="L74">
        <f t="shared" si="37"/>
        <v>4.4328406783331502</v>
      </c>
      <c r="M74">
        <f t="shared" si="38"/>
        <v>2.0777725633966582</v>
      </c>
      <c r="N74" s="13">
        <f t="shared" si="39"/>
        <v>32.836503438944057</v>
      </c>
    </row>
    <row r="75" spans="1:14">
      <c r="A75" t="str">
        <f t="shared" si="26"/>
        <v xml:space="preserve">Promedio de 5. Chimborazo - Estándar </v>
      </c>
      <c r="B75">
        <f t="shared" si="27"/>
        <v>2.2919066860557225</v>
      </c>
      <c r="C75">
        <f t="shared" si="28"/>
        <v>5.6916815687083941</v>
      </c>
      <c r="D75">
        <f t="shared" si="29"/>
        <v>7.8001621523719056</v>
      </c>
      <c r="E75">
        <f t="shared" si="30"/>
        <v>2.1358314866380166</v>
      </c>
      <c r="F75">
        <f t="shared" si="31"/>
        <v>1.9632868058463868</v>
      </c>
      <c r="G75">
        <f t="shared" si="32"/>
        <v>6.450152349703842</v>
      </c>
      <c r="H75">
        <f t="shared" si="33"/>
        <v>0.25351655229673348</v>
      </c>
      <c r="I75">
        <f t="shared" si="34"/>
        <v>2.1753220918093672</v>
      </c>
      <c r="J75">
        <f t="shared" si="35"/>
        <v>2.0224714312023355</v>
      </c>
      <c r="K75">
        <f t="shared" si="36"/>
        <v>1.8526291572061337</v>
      </c>
      <c r="L75">
        <f t="shared" si="37"/>
        <v>3.4425971277742473</v>
      </c>
      <c r="M75">
        <f t="shared" si="38"/>
        <v>3.1171252877051248</v>
      </c>
      <c r="N75" s="13">
        <f t="shared" si="39"/>
        <v>39.196682697318202</v>
      </c>
    </row>
    <row r="76" spans="1:14">
      <c r="A76" t="str">
        <f t="shared" si="26"/>
        <v xml:space="preserve">Promedio de 6. Cotopaxi - Estándar </v>
      </c>
      <c r="B76">
        <f t="shared" si="27"/>
        <v>1.4013983148377194</v>
      </c>
      <c r="C76">
        <f t="shared" si="28"/>
        <v>3.1017069737859431</v>
      </c>
      <c r="D76">
        <f t="shared" si="29"/>
        <v>6.6730110560407541</v>
      </c>
      <c r="E76">
        <f t="shared" si="30"/>
        <v>2.3130795732182285</v>
      </c>
      <c r="F76">
        <f t="shared" si="31"/>
        <v>1.1395762054840832</v>
      </c>
      <c r="G76">
        <f t="shared" si="32"/>
        <v>5.3418521852718639</v>
      </c>
      <c r="H76">
        <f t="shared" si="33"/>
        <v>2.7985914035271624</v>
      </c>
      <c r="I76">
        <f t="shared" si="34"/>
        <v>2.7086035466728346</v>
      </c>
      <c r="J76">
        <f t="shared" si="35"/>
        <v>1.7959670447352343</v>
      </c>
      <c r="K76">
        <f t="shared" si="36"/>
        <v>0.79944813707059925</v>
      </c>
      <c r="L76">
        <f t="shared" si="37"/>
        <v>3.8218470724354745</v>
      </c>
      <c r="M76">
        <f t="shared" si="38"/>
        <v>1.640329966721825</v>
      </c>
      <c r="N76" s="13">
        <f t="shared" si="39"/>
        <v>33.535411479801716</v>
      </c>
    </row>
    <row r="77" spans="1:14">
      <c r="A77" t="str">
        <f t="shared" si="26"/>
        <v xml:space="preserve">Promedio de 7. El Oro - Estándar </v>
      </c>
      <c r="B77">
        <f t="shared" si="27"/>
        <v>2.9275956791916404</v>
      </c>
      <c r="C77">
        <f t="shared" si="28"/>
        <v>5.0060203025489107</v>
      </c>
      <c r="D77">
        <f t="shared" si="29"/>
        <v>5.9466182843310218</v>
      </c>
      <c r="E77">
        <f t="shared" si="30"/>
        <v>3.2718826236183873</v>
      </c>
      <c r="F77">
        <f t="shared" si="31"/>
        <v>2.3839642791721434</v>
      </c>
      <c r="G77">
        <f t="shared" si="32"/>
        <v>7.0893353773522438</v>
      </c>
      <c r="H77">
        <f t="shared" si="33"/>
        <v>2.5696342709304538</v>
      </c>
      <c r="I77">
        <f t="shared" si="34"/>
        <v>3.1574120599908486</v>
      </c>
      <c r="J77">
        <f t="shared" si="35"/>
        <v>1.9992678035819222</v>
      </c>
      <c r="K77">
        <f t="shared" si="36"/>
        <v>1.9951118090650564</v>
      </c>
      <c r="L77">
        <f t="shared" si="37"/>
        <v>5.9210009520353957</v>
      </c>
      <c r="M77">
        <f t="shared" si="38"/>
        <v>1.4201101780028511</v>
      </c>
      <c r="N77" s="13">
        <f t="shared" si="39"/>
        <v>43.687953619820881</v>
      </c>
    </row>
    <row r="78" spans="1:14">
      <c r="A78" t="str">
        <f t="shared" si="26"/>
        <v xml:space="preserve">Promedio de 8. Esmeraldas - Estándar </v>
      </c>
      <c r="B78">
        <f t="shared" si="27"/>
        <v>1.772488502305257</v>
      </c>
      <c r="C78">
        <f t="shared" si="28"/>
        <v>3.0059476734687789</v>
      </c>
      <c r="D78">
        <f t="shared" si="29"/>
        <v>3.7615748605438508</v>
      </c>
      <c r="E78">
        <f t="shared" si="30"/>
        <v>2.2948501322677908</v>
      </c>
      <c r="F78">
        <f t="shared" si="31"/>
        <v>1.0065862777574348</v>
      </c>
      <c r="G78">
        <f t="shared" si="32"/>
        <v>5.240213987853596</v>
      </c>
      <c r="H78">
        <f t="shared" si="33"/>
        <v>1.019028014292213</v>
      </c>
      <c r="I78">
        <f t="shared" si="34"/>
        <v>1.6916211578868687</v>
      </c>
      <c r="J78">
        <f t="shared" si="35"/>
        <v>2.4357998841168174</v>
      </c>
      <c r="K78">
        <f t="shared" si="36"/>
        <v>0.51386323319499494</v>
      </c>
      <c r="L78">
        <f t="shared" si="37"/>
        <v>3.8985044325261771</v>
      </c>
      <c r="M78">
        <f t="shared" si="38"/>
        <v>0.78139104839693474</v>
      </c>
      <c r="N78" s="13">
        <f t="shared" si="39"/>
        <v>27.421869204610719</v>
      </c>
    </row>
    <row r="79" spans="1:14">
      <c r="A79" t="str">
        <f t="shared" si="26"/>
        <v xml:space="preserve">Promedio de 9. Galápagos - Estándar </v>
      </c>
      <c r="B79">
        <f t="shared" si="27"/>
        <v>3.99821961997778</v>
      </c>
      <c r="C79">
        <f t="shared" si="28"/>
        <v>7.1320532530122192</v>
      </c>
      <c r="D79">
        <f t="shared" si="29"/>
        <v>8.9853417899929582</v>
      </c>
      <c r="E79">
        <f t="shared" si="30"/>
        <v>4.7256519181103878</v>
      </c>
      <c r="F79">
        <f t="shared" si="31"/>
        <v>3.7014840962721354</v>
      </c>
      <c r="G79">
        <f t="shared" si="32"/>
        <v>2.4667058362710539</v>
      </c>
      <c r="H79">
        <f t="shared" si="33"/>
        <v>3.458824722583993</v>
      </c>
      <c r="I79">
        <f t="shared" si="34"/>
        <v>3.947853560599166</v>
      </c>
      <c r="J79">
        <f t="shared" si="35"/>
        <v>2.5</v>
      </c>
      <c r="K79">
        <f t="shared" si="36"/>
        <v>3.9370125158948515</v>
      </c>
      <c r="L79">
        <f t="shared" si="37"/>
        <v>6.4849247259041078</v>
      </c>
      <c r="M79">
        <f t="shared" si="38"/>
        <v>3.4145715396047884</v>
      </c>
      <c r="N79" s="13">
        <f t="shared" si="39"/>
        <v>54.752643578223434</v>
      </c>
    </row>
    <row r="80" spans="1:14">
      <c r="A80" t="str">
        <f t="shared" si="26"/>
        <v xml:space="preserve">Promedio de 10. Guayas - Estándar </v>
      </c>
      <c r="B80">
        <f t="shared" si="27"/>
        <v>1.6434257374300314</v>
      </c>
      <c r="C80">
        <f t="shared" si="28"/>
        <v>6.3028521437113758</v>
      </c>
      <c r="D80">
        <f t="shared" si="29"/>
        <v>2.5985485337513303</v>
      </c>
      <c r="E80">
        <f t="shared" si="30"/>
        <v>6.712935214502564</v>
      </c>
      <c r="F80">
        <f t="shared" si="31"/>
        <v>1.6295056152822529</v>
      </c>
      <c r="G80">
        <f t="shared" si="32"/>
        <v>7.2937120904801702</v>
      </c>
      <c r="H80">
        <f t="shared" si="33"/>
        <v>4.8468861015080584</v>
      </c>
      <c r="I80">
        <f t="shared" si="34"/>
        <v>5.8982295857430493</v>
      </c>
      <c r="J80">
        <f t="shared" si="35"/>
        <v>2.2935428567995682</v>
      </c>
      <c r="K80">
        <f t="shared" si="36"/>
        <v>0.21288777440023685</v>
      </c>
      <c r="L80">
        <f t="shared" si="37"/>
        <v>6.7785111808675742</v>
      </c>
      <c r="M80">
        <f t="shared" si="38"/>
        <v>1.6225039563769785</v>
      </c>
      <c r="N80" s="13">
        <f t="shared" si="39"/>
        <v>47.833540790853192</v>
      </c>
    </row>
    <row r="81" spans="1:14">
      <c r="A81" t="str">
        <f t="shared" si="26"/>
        <v xml:space="preserve">Promedio de 11. Imbabura -Estándar </v>
      </c>
      <c r="B81">
        <f t="shared" si="27"/>
        <v>3.0530241158980358</v>
      </c>
      <c r="C81">
        <f t="shared" si="28"/>
        <v>5.0812429743161287</v>
      </c>
      <c r="D81">
        <f t="shared" si="29"/>
        <v>4.7057393937763781</v>
      </c>
      <c r="E81">
        <f t="shared" si="30"/>
        <v>2.5490606838547296</v>
      </c>
      <c r="F81">
        <f t="shared" si="31"/>
        <v>2.6465103975570021</v>
      </c>
      <c r="G81">
        <f t="shared" si="32"/>
        <v>7.0035601866878299</v>
      </c>
      <c r="H81">
        <f t="shared" si="33"/>
        <v>1.9227205647001888</v>
      </c>
      <c r="I81">
        <f t="shared" si="34"/>
        <v>3.6215753539402016</v>
      </c>
      <c r="J81">
        <f t="shared" si="35"/>
        <v>2.1228832673206783</v>
      </c>
      <c r="K81">
        <f t="shared" si="36"/>
        <v>2.2686746396013677</v>
      </c>
      <c r="L81">
        <f t="shared" si="37"/>
        <v>5.150562543229583</v>
      </c>
      <c r="M81">
        <f t="shared" si="38"/>
        <v>3.3449114047516662</v>
      </c>
      <c r="N81" s="13">
        <f t="shared" si="39"/>
        <v>43.470465525633784</v>
      </c>
    </row>
    <row r="82" spans="1:14">
      <c r="A82" s="27" t="str">
        <f t="shared" si="26"/>
        <v xml:space="preserve">Promedio de 12. Loja - Estándar </v>
      </c>
      <c r="B82" s="27">
        <f t="shared" si="27"/>
        <v>2.5958873915501588</v>
      </c>
      <c r="C82" s="27">
        <f t="shared" si="28"/>
        <v>3.0207866596921154</v>
      </c>
      <c r="D82" s="27">
        <f t="shared" si="29"/>
        <v>4.2825466440078461</v>
      </c>
      <c r="E82" s="27">
        <f t="shared" si="30"/>
        <v>2.3178255664999829</v>
      </c>
      <c r="F82" s="27">
        <f t="shared" si="31"/>
        <v>1.4193362427997205</v>
      </c>
      <c r="G82" s="27">
        <f t="shared" si="32"/>
        <v>6.0977044891808507</v>
      </c>
      <c r="H82" s="27">
        <f t="shared" si="33"/>
        <v>4.0366926406847437E-3</v>
      </c>
      <c r="I82" s="27">
        <f t="shared" si="34"/>
        <v>1.9596099345560067</v>
      </c>
      <c r="J82" s="27">
        <f t="shared" si="35"/>
        <v>1.5826364967544759</v>
      </c>
      <c r="K82" s="27">
        <f t="shared" si="36"/>
        <v>0.99242630504520801</v>
      </c>
      <c r="L82" s="27">
        <f t="shared" si="37"/>
        <v>3.6835522653354915</v>
      </c>
      <c r="M82">
        <f t="shared" si="38"/>
        <v>3.3212907499453728</v>
      </c>
      <c r="N82" s="13">
        <f t="shared" si="39"/>
        <v>31.277639438007913</v>
      </c>
    </row>
    <row r="83" spans="1:14">
      <c r="A83" t="str">
        <f t="shared" si="26"/>
        <v xml:space="preserve">Promedio de 13. Los Ríos - Estándar </v>
      </c>
      <c r="B83">
        <f t="shared" si="27"/>
        <v>2.0235767791024206</v>
      </c>
      <c r="C83">
        <f t="shared" si="28"/>
        <v>4.7928312030067124</v>
      </c>
      <c r="D83">
        <f t="shared" si="29"/>
        <v>3.1185606853408365</v>
      </c>
      <c r="E83">
        <f t="shared" si="30"/>
        <v>2.095320411665861</v>
      </c>
      <c r="F83">
        <f t="shared" si="31"/>
        <v>1.4627555798674474</v>
      </c>
      <c r="G83">
        <f t="shared" si="32"/>
        <v>5.7036263076967684</v>
      </c>
      <c r="H83">
        <f t="shared" si="33"/>
        <v>1.3657342699191002</v>
      </c>
      <c r="I83">
        <f t="shared" si="34"/>
        <v>2.2647380652831459</v>
      </c>
      <c r="J83">
        <f t="shared" si="35"/>
        <v>2.3780487804878052</v>
      </c>
      <c r="K83">
        <f t="shared" si="36"/>
        <v>1.9269160687183906</v>
      </c>
      <c r="L83">
        <f t="shared" si="37"/>
        <v>4.9502485111248058</v>
      </c>
      <c r="M83">
        <f t="shared" si="38"/>
        <v>1.1632847832896986</v>
      </c>
      <c r="N83" s="13">
        <f t="shared" si="39"/>
        <v>33.245641445502997</v>
      </c>
    </row>
    <row r="84" spans="1:14">
      <c r="A84" t="str">
        <f t="shared" si="26"/>
        <v xml:space="preserve">Promedio de 14. Manabí - Estáncar </v>
      </c>
      <c r="B84">
        <f t="shared" si="27"/>
        <v>1.8560119513629614</v>
      </c>
      <c r="C84">
        <f t="shared" si="28"/>
        <v>2.8542437971832251</v>
      </c>
      <c r="D84">
        <f t="shared" si="29"/>
        <v>5.0544617501190992</v>
      </c>
      <c r="E84">
        <f t="shared" si="30"/>
        <v>2.486448833978141</v>
      </c>
      <c r="F84">
        <f t="shared" si="31"/>
        <v>1.0561218341863841</v>
      </c>
      <c r="G84">
        <f t="shared" si="32"/>
        <v>6.1802764809619593</v>
      </c>
      <c r="H84">
        <f t="shared" si="33"/>
        <v>1.746823804877806</v>
      </c>
      <c r="I84">
        <f t="shared" si="34"/>
        <v>2.8737768046720689</v>
      </c>
      <c r="J84">
        <f t="shared" si="35"/>
        <v>2.465715096863546</v>
      </c>
      <c r="K84">
        <f t="shared" si="36"/>
        <v>0.50004182395457308</v>
      </c>
      <c r="L84">
        <f t="shared" si="37"/>
        <v>4.6538154825038642</v>
      </c>
      <c r="M84">
        <f t="shared" si="38"/>
        <v>1.2428414846041607</v>
      </c>
      <c r="N84" s="13">
        <f t="shared" si="39"/>
        <v>32.970579145267791</v>
      </c>
    </row>
    <row r="85" spans="1:14">
      <c r="A85" t="str">
        <f t="shared" si="26"/>
        <v xml:space="preserve">Promedio de 15. Morona Santiago - Estáncar </v>
      </c>
      <c r="B85">
        <f t="shared" si="27"/>
        <v>1.8235950569990456</v>
      </c>
      <c r="C85">
        <f t="shared" si="28"/>
        <v>3.1706895165606692</v>
      </c>
      <c r="D85">
        <f t="shared" si="29"/>
        <v>6.87910406701927</v>
      </c>
      <c r="E85">
        <f t="shared" si="30"/>
        <v>1.4086170050435873</v>
      </c>
      <c r="F85">
        <f t="shared" si="31"/>
        <v>2.7099191729348879</v>
      </c>
      <c r="G85">
        <f t="shared" si="32"/>
        <v>4.4759978409603498</v>
      </c>
      <c r="H85">
        <f t="shared" si="33"/>
        <v>9.9590557908401017E-2</v>
      </c>
      <c r="I85">
        <f t="shared" si="34"/>
        <v>1.644531822450781</v>
      </c>
      <c r="J85">
        <f t="shared" si="35"/>
        <v>2.3226766193406596</v>
      </c>
      <c r="K85">
        <f t="shared" si="36"/>
        <v>2.5273190039202551</v>
      </c>
      <c r="L85">
        <f t="shared" si="37"/>
        <v>1.855617074566325</v>
      </c>
      <c r="M85">
        <f t="shared" si="38"/>
        <v>0.61604888964331783</v>
      </c>
      <c r="N85" s="13">
        <f t="shared" si="39"/>
        <v>29.533706627347545</v>
      </c>
    </row>
    <row r="86" spans="1:14">
      <c r="A86" t="str">
        <f t="shared" si="26"/>
        <v xml:space="preserve">Promedio de 16. Napo - Estáncar </v>
      </c>
      <c r="B86">
        <f t="shared" si="27"/>
        <v>1.6930068692293183</v>
      </c>
      <c r="C86">
        <f t="shared" si="28"/>
        <v>2.2947615125456817</v>
      </c>
      <c r="D86">
        <f t="shared" si="29"/>
        <v>4.6328498411071406</v>
      </c>
      <c r="E86">
        <f t="shared" si="30"/>
        <v>0.88619893064024391</v>
      </c>
      <c r="F86">
        <f t="shared" si="31"/>
        <v>2.1247403551169919</v>
      </c>
      <c r="G86">
        <f t="shared" si="32"/>
        <v>4.5092046531236312</v>
      </c>
      <c r="H86">
        <f t="shared" si="33"/>
        <v>0.38301203656502691</v>
      </c>
      <c r="I86">
        <f t="shared" si="34"/>
        <v>1.2946020471393389</v>
      </c>
      <c r="J86">
        <f t="shared" si="35"/>
        <v>2.4489386793976902</v>
      </c>
      <c r="K86">
        <f t="shared" si="36"/>
        <v>1.4462796979418748</v>
      </c>
      <c r="L86">
        <f t="shared" si="37"/>
        <v>3.8461139620731526</v>
      </c>
      <c r="M86">
        <f t="shared" si="38"/>
        <v>1.3780043233114616</v>
      </c>
      <c r="N86" s="13">
        <f t="shared" si="39"/>
        <v>26.937712908191553</v>
      </c>
    </row>
    <row r="87" spans="1:14">
      <c r="A87" t="str">
        <f t="shared" si="26"/>
        <v xml:space="preserve">Promedio de 17. Francisco de Orellana - Estándar </v>
      </c>
      <c r="B87">
        <f t="shared" si="27"/>
        <v>2.011180573128565</v>
      </c>
      <c r="C87">
        <f t="shared" si="28"/>
        <v>8.2714435429197444</v>
      </c>
      <c r="D87">
        <f t="shared" si="29"/>
        <v>5.690917388057315</v>
      </c>
      <c r="E87">
        <f t="shared" si="30"/>
        <v>2.8967932097745011</v>
      </c>
      <c r="F87">
        <f t="shared" si="31"/>
        <v>2.7332401449560262</v>
      </c>
      <c r="G87">
        <f t="shared" si="32"/>
        <v>3.2967478883181673</v>
      </c>
      <c r="H87">
        <f t="shared" si="33"/>
        <v>4.3359124897529112E-2</v>
      </c>
      <c r="I87">
        <f t="shared" si="34"/>
        <v>2.0116634877435553</v>
      </c>
      <c r="J87">
        <f t="shared" si="35"/>
        <v>2.4262227710787254</v>
      </c>
      <c r="K87">
        <f t="shared" si="36"/>
        <v>2.1551112625119555</v>
      </c>
      <c r="L87">
        <f t="shared" si="37"/>
        <v>2.791700068781509</v>
      </c>
      <c r="M87">
        <f t="shared" si="38"/>
        <v>0.59598545627247812</v>
      </c>
      <c r="N87" s="13">
        <f t="shared" si="39"/>
        <v>34.92436491844007</v>
      </c>
    </row>
    <row r="88" spans="1:14">
      <c r="A88" t="str">
        <f t="shared" si="26"/>
        <v xml:space="preserve">Promedio de 18. Pastaza - Estáncar </v>
      </c>
      <c r="B88">
        <f t="shared" si="27"/>
        <v>2.1982827528649285</v>
      </c>
      <c r="C88">
        <f t="shared" si="28"/>
        <v>3.3054601453949881</v>
      </c>
      <c r="D88">
        <f t="shared" si="29"/>
        <v>6.6291825928653374</v>
      </c>
      <c r="E88">
        <f t="shared" si="30"/>
        <v>1.5065458459918073</v>
      </c>
      <c r="F88">
        <f t="shared" si="31"/>
        <v>1.9123481903938904</v>
      </c>
      <c r="G88">
        <f t="shared" si="32"/>
        <v>4.5182755115161415</v>
      </c>
      <c r="H88">
        <f t="shared" si="33"/>
        <v>0.13552522661752148</v>
      </c>
      <c r="I88">
        <f t="shared" si="34"/>
        <v>2.1144117119493924</v>
      </c>
      <c r="J88">
        <f t="shared" si="35"/>
        <v>2.4818699239165674</v>
      </c>
      <c r="K88">
        <f t="shared" si="36"/>
        <v>1.9998984908767867</v>
      </c>
      <c r="L88">
        <f t="shared" si="37"/>
        <v>2.9597979280859885</v>
      </c>
      <c r="M88">
        <f t="shared" si="38"/>
        <v>2.5221492674496355</v>
      </c>
      <c r="N88" s="13">
        <f t="shared" si="39"/>
        <v>32.283747587922981</v>
      </c>
    </row>
    <row r="89" spans="1:14">
      <c r="A89" t="str">
        <f t="shared" si="26"/>
        <v xml:space="preserve">Promedio de 19. Pichincha - Estándar </v>
      </c>
      <c r="B89">
        <f t="shared" si="27"/>
        <v>3.8386595529330556</v>
      </c>
      <c r="C89">
        <f t="shared" si="28"/>
        <v>11.956997339745412</v>
      </c>
      <c r="D89">
        <f t="shared" si="29"/>
        <v>5.211671064713479</v>
      </c>
      <c r="E89">
        <f t="shared" si="30"/>
        <v>8.1019166845981925</v>
      </c>
      <c r="F89">
        <f t="shared" si="31"/>
        <v>3.1811303920731668</v>
      </c>
      <c r="G89">
        <f t="shared" si="32"/>
        <v>8.1071609676744174</v>
      </c>
      <c r="H89">
        <f t="shared" si="33"/>
        <v>8.2301898322812583</v>
      </c>
      <c r="I89">
        <f t="shared" si="34"/>
        <v>7.8977154401327612</v>
      </c>
      <c r="J89">
        <f t="shared" si="35"/>
        <v>2.1479834780773928</v>
      </c>
      <c r="K89">
        <f t="shared" si="36"/>
        <v>1.7479496102766203</v>
      </c>
      <c r="L89">
        <f t="shared" si="37"/>
        <v>8.7620446096752413</v>
      </c>
      <c r="M89">
        <f t="shared" si="38"/>
        <v>3.4226685343727987</v>
      </c>
      <c r="N89" s="13">
        <f t="shared" si="39"/>
        <v>72.606087506553791</v>
      </c>
    </row>
    <row r="90" spans="1:14">
      <c r="A90" t="str">
        <f t="shared" si="26"/>
        <v xml:space="preserve">Promedio de 20. Sucumbíos - Estáncar </v>
      </c>
      <c r="B90">
        <f t="shared" si="27"/>
        <v>0.72389102107558789</v>
      </c>
      <c r="C90">
        <f t="shared" si="28"/>
        <v>4.7004911439314245</v>
      </c>
      <c r="D90">
        <f t="shared" si="29"/>
        <v>4.0498723199875855</v>
      </c>
      <c r="E90">
        <f t="shared" si="30"/>
        <v>3.0228009447273174</v>
      </c>
      <c r="F90">
        <f t="shared" si="31"/>
        <v>1.5831196099791902</v>
      </c>
      <c r="G90">
        <f t="shared" si="32"/>
        <v>4.1781858215559327</v>
      </c>
      <c r="H90">
        <f t="shared" si="33"/>
        <v>1.1767474699929397E-3</v>
      </c>
      <c r="I90">
        <f t="shared" si="34"/>
        <v>1.9341171382457276</v>
      </c>
      <c r="J90">
        <f t="shared" si="35"/>
        <v>2.242304535630911</v>
      </c>
      <c r="K90">
        <f t="shared" si="36"/>
        <v>1.0741458378838111</v>
      </c>
      <c r="L90">
        <f t="shared" si="37"/>
        <v>2.9106213342620517</v>
      </c>
      <c r="M90">
        <f t="shared" si="38"/>
        <v>0.56840312370636015</v>
      </c>
      <c r="N90" s="13">
        <f t="shared" si="39"/>
        <v>26.989129578455895</v>
      </c>
    </row>
    <row r="91" spans="1:14">
      <c r="A91" t="str">
        <f t="shared" si="26"/>
        <v xml:space="preserve">Promedio de 21. Tungurahua - Estáncar </v>
      </c>
      <c r="B91">
        <f t="shared" si="27"/>
        <v>3.0563810823770097</v>
      </c>
      <c r="C91">
        <f t="shared" si="28"/>
        <v>5.905303405982206</v>
      </c>
      <c r="D91">
        <f t="shared" si="29"/>
        <v>5.3540284022661258</v>
      </c>
      <c r="E91">
        <f t="shared" si="30"/>
        <v>4.1679039738057524</v>
      </c>
      <c r="F91">
        <f t="shared" si="31"/>
        <v>1.8592431476389255</v>
      </c>
      <c r="G91">
        <f t="shared" si="32"/>
        <v>6.9645563665503225</v>
      </c>
      <c r="H91">
        <f t="shared" si="33"/>
        <v>0.74656093449264993</v>
      </c>
      <c r="I91">
        <f t="shared" si="34"/>
        <v>3.4237076763558338</v>
      </c>
      <c r="J91">
        <f t="shared" si="35"/>
        <v>2.1770613927355584</v>
      </c>
      <c r="K91">
        <f t="shared" si="36"/>
        <v>2.0914440344689371</v>
      </c>
      <c r="L91">
        <f t="shared" si="37"/>
        <v>5.9122432365784627</v>
      </c>
      <c r="M91">
        <f t="shared" si="38"/>
        <v>2.6712220900892536</v>
      </c>
      <c r="N91" s="13">
        <f t="shared" si="39"/>
        <v>44.329655743341036</v>
      </c>
    </row>
    <row r="92" spans="1:14">
      <c r="A92" t="str">
        <f t="shared" si="26"/>
        <v xml:space="preserve">Promedio de 22. Zamora Chinchipe - Estándar </v>
      </c>
      <c r="B92">
        <f t="shared" si="27"/>
        <v>2.1551493515929256</v>
      </c>
      <c r="C92">
        <f t="shared" si="28"/>
        <v>1.2644982091494004</v>
      </c>
      <c r="D92">
        <f t="shared" si="29"/>
        <v>5.1225804293993811</v>
      </c>
      <c r="E92">
        <f t="shared" si="30"/>
        <v>1.0866953270392714</v>
      </c>
      <c r="F92">
        <f t="shared" si="31"/>
        <v>2.3531130199128345</v>
      </c>
      <c r="G92">
        <f t="shared" si="32"/>
        <v>4.5001998082064416</v>
      </c>
      <c r="H92">
        <f t="shared" si="33"/>
        <v>2.2699023351282845E-2</v>
      </c>
      <c r="I92">
        <f t="shared" si="34"/>
        <v>1.569305166942673</v>
      </c>
      <c r="J92">
        <f t="shared" si="35"/>
        <v>2.4198450750673857</v>
      </c>
      <c r="K92">
        <f t="shared" si="36"/>
        <v>2.0252017503516</v>
      </c>
      <c r="L92">
        <f t="shared" si="37"/>
        <v>2.8602870806674785</v>
      </c>
      <c r="M92">
        <f t="shared" si="38"/>
        <v>1.6716695430048991</v>
      </c>
      <c r="N92" s="13">
        <f t="shared" si="39"/>
        <v>27.051243784685575</v>
      </c>
    </row>
    <row r="93" spans="1:14">
      <c r="A93" t="str">
        <f t="shared" si="26"/>
        <v>Promedio de 23. Santa Elena</v>
      </c>
      <c r="B93">
        <f t="shared" si="27"/>
        <v>2.1478676717568415</v>
      </c>
      <c r="C93">
        <f t="shared" si="28"/>
        <v>5.4327492163118682</v>
      </c>
      <c r="D93">
        <f t="shared" si="29"/>
        <v>4.6530658609027507</v>
      </c>
      <c r="E93">
        <f t="shared" si="30"/>
        <v>2.2878012383459887</v>
      </c>
      <c r="F93">
        <f t="shared" si="31"/>
        <v>2.2306478290262892</v>
      </c>
      <c r="G93">
        <f t="shared" si="32"/>
        <v>6.0752919907547298</v>
      </c>
      <c r="H93">
        <f t="shared" si="33"/>
        <v>0.88144343799153835</v>
      </c>
      <c r="I93">
        <f t="shared" si="34"/>
        <v>3.2337785247655733</v>
      </c>
      <c r="J93">
        <f t="shared" si="35"/>
        <v>2.1326811947608744</v>
      </c>
      <c r="K93">
        <f t="shared" si="36"/>
        <v>2.9345048160912288</v>
      </c>
      <c r="L93">
        <f t="shared" si="37"/>
        <v>4.1385632463826791</v>
      </c>
      <c r="M93">
        <f t="shared" si="38"/>
        <v>0.76208601778227325</v>
      </c>
      <c r="N93" s="13">
        <f t="shared" si="39"/>
        <v>36.91048104487264</v>
      </c>
    </row>
    <row r="94" spans="1:14">
      <c r="A94" t="str">
        <f t="shared" si="26"/>
        <v>Promedio de 24. Santo Domingo de los Tsachilas</v>
      </c>
      <c r="B94">
        <f t="shared" si="27"/>
        <v>1.7044233974985223</v>
      </c>
      <c r="C94">
        <f t="shared" si="28"/>
        <v>3.4378859793836338</v>
      </c>
      <c r="D94">
        <f t="shared" si="29"/>
        <v>7.2134573202243431</v>
      </c>
      <c r="E94">
        <f t="shared" si="30"/>
        <v>3.0757113894813557</v>
      </c>
      <c r="F94">
        <f t="shared" si="31"/>
        <v>1.4727172052500468</v>
      </c>
      <c r="G94">
        <f t="shared" si="32"/>
        <v>6.9152632190589918</v>
      </c>
      <c r="H94">
        <f t="shared" si="33"/>
        <v>1.3515419114088414</v>
      </c>
      <c r="I94">
        <f t="shared" si="34"/>
        <v>3.0468269993574673</v>
      </c>
      <c r="J94">
        <f t="shared" si="35"/>
        <v>2.566679489498068</v>
      </c>
      <c r="K94">
        <f t="shared" si="36"/>
        <v>0.60609738052098583</v>
      </c>
      <c r="L94">
        <f t="shared" si="37"/>
        <v>4.7224922189559271</v>
      </c>
      <c r="M94">
        <f t="shared" si="38"/>
        <v>1.4048087069017858</v>
      </c>
      <c r="N94" s="13">
        <f t="shared" si="39"/>
        <v>37.517905217539962</v>
      </c>
    </row>
    <row r="100" spans="1:14">
      <c r="A100" s="5" t="s">
        <v>315</v>
      </c>
      <c r="B100" s="5">
        <f>+B69*100</f>
        <v>5</v>
      </c>
      <c r="C100" s="5">
        <f t="shared" ref="C100:N100" si="40">+C69*100</f>
        <v>15</v>
      </c>
      <c r="D100" s="5">
        <f t="shared" si="40"/>
        <v>10</v>
      </c>
      <c r="E100" s="5">
        <f t="shared" si="40"/>
        <v>10</v>
      </c>
      <c r="F100" s="5">
        <f t="shared" si="40"/>
        <v>5</v>
      </c>
      <c r="G100" s="5">
        <f t="shared" si="40"/>
        <v>10</v>
      </c>
      <c r="H100" s="5">
        <f t="shared" si="40"/>
        <v>10</v>
      </c>
      <c r="I100" s="5">
        <f t="shared" si="40"/>
        <v>10</v>
      </c>
      <c r="J100" s="5">
        <f t="shared" si="40"/>
        <v>5</v>
      </c>
      <c r="K100" s="5">
        <f t="shared" si="40"/>
        <v>5</v>
      </c>
      <c r="L100" s="5">
        <f t="shared" si="40"/>
        <v>10</v>
      </c>
      <c r="M100" s="5">
        <f t="shared" si="40"/>
        <v>5</v>
      </c>
      <c r="N100" s="5">
        <f t="shared" si="40"/>
        <v>100</v>
      </c>
    </row>
    <row r="101" spans="1:14">
      <c r="A101" s="5" t="str">
        <f>+A70</f>
        <v>Valores</v>
      </c>
      <c r="B101" s="5" t="str">
        <f t="shared" ref="B101:N101" si="41">+B70</f>
        <v>Desarrollo Integral de las personas</v>
      </c>
      <c r="C101" s="5" t="str">
        <f t="shared" si="41"/>
        <v>Desempeño Económico</v>
      </c>
      <c r="D101" s="5" t="str">
        <f t="shared" si="41"/>
        <v>Empleo</v>
      </c>
      <c r="E101" s="5" t="str">
        <f t="shared" si="41"/>
        <v>Gestión Empresarial</v>
      </c>
      <c r="F101" s="5" t="str">
        <f t="shared" si="41"/>
        <v>Gestión, Gobiernos e Instituciones</v>
      </c>
      <c r="G101" s="5" t="str">
        <f t="shared" si="41"/>
        <v>Infraestructura y Localización</v>
      </c>
      <c r="H101" s="5" t="str">
        <f t="shared" si="41"/>
        <v>Internacionalización y Apertura</v>
      </c>
      <c r="I101" s="5" t="str">
        <f t="shared" si="41"/>
        <v>Mercados financieros</v>
      </c>
      <c r="J101" s="5" t="str">
        <f t="shared" si="41"/>
        <v>Recursos Naturales y Ambiente</v>
      </c>
      <c r="K101" s="5" t="str">
        <f t="shared" si="41"/>
        <v>Seguridad Jurídica</v>
      </c>
      <c r="L101" s="5" t="str">
        <f t="shared" si="41"/>
        <v>Urbanización</v>
      </c>
      <c r="M101" s="5" t="str">
        <f t="shared" si="41"/>
        <v>Habilitantes de Innovación, Ciencia y Tecnología</v>
      </c>
      <c r="N101" s="5" t="str">
        <f t="shared" si="41"/>
        <v>Total general</v>
      </c>
    </row>
    <row r="102" spans="1:14">
      <c r="A102" s="4" t="str">
        <f t="shared" ref="A102:A125" si="42">+A71</f>
        <v>Promedio de 1. Azuay - Estandar</v>
      </c>
      <c r="B102" s="14">
        <f>+B71/$B$100*100</f>
        <v>55.434288884426287</v>
      </c>
      <c r="C102" s="14">
        <f>+C71/$C$100*100</f>
        <v>43.441651067617762</v>
      </c>
      <c r="D102" s="14">
        <f>+D71/$D$100*100</f>
        <v>76.41402986100718</v>
      </c>
      <c r="E102" s="14">
        <f>+E71/$E$100*100</f>
        <v>45.39235203231614</v>
      </c>
      <c r="F102" s="14">
        <f>+F71/$F$100*100</f>
        <v>41.712380330867838</v>
      </c>
      <c r="G102" s="14">
        <f>+G71/$G$100*100</f>
        <v>75.82068883367036</v>
      </c>
      <c r="H102" s="14">
        <f>+H71/$H$100*100</f>
        <v>8.8146405922075974</v>
      </c>
      <c r="I102" s="14">
        <f>+I71/$I$100*100</f>
        <v>40.827968000960567</v>
      </c>
      <c r="J102" s="14">
        <f>+J71/$J$100*100</f>
        <v>36.781054277739024</v>
      </c>
      <c r="K102" s="14">
        <f>+K71/$K$100*100</f>
        <v>24.187850384777683</v>
      </c>
      <c r="L102" s="14">
        <f>+L71/$L$100*100</f>
        <v>59.374328697385472</v>
      </c>
      <c r="M102" s="14">
        <f>+M71/$M$100*100</f>
        <v>53.278712508208059</v>
      </c>
      <c r="N102" s="14">
        <f>+N71/$N$100*100</f>
        <v>47.750362781198334</v>
      </c>
    </row>
    <row r="103" spans="1:14">
      <c r="A103" s="4" t="str">
        <f t="shared" si="42"/>
        <v xml:space="preserve">Promedio de 2. Bolívar - Estándar </v>
      </c>
      <c r="B103" s="14">
        <f t="shared" ref="B103:B125" si="43">+B72/$B$100*100</f>
        <v>34.38189172447467</v>
      </c>
      <c r="C103" s="14">
        <f t="shared" ref="C103:C125" si="44">+C72/$C$100*100</f>
        <v>7.1315725188494845</v>
      </c>
      <c r="D103" s="14">
        <f t="shared" ref="D103:D125" si="45">+D72/$D$100*100</f>
        <v>67.76218973104065</v>
      </c>
      <c r="E103" s="14">
        <f t="shared" ref="E103:E125" si="46">+E72/$E$100*100</f>
        <v>5.2703627652292955</v>
      </c>
      <c r="F103" s="14">
        <f t="shared" ref="F103:F125" si="47">+F72/$F$100*100</f>
        <v>15.105123117856001</v>
      </c>
      <c r="G103" s="14">
        <f t="shared" ref="G103:G125" si="48">+G72/$G$100*100</f>
        <v>68.520252219071125</v>
      </c>
      <c r="H103" s="14">
        <f t="shared" ref="H103:H125" si="49">+H72/$H$100*100</f>
        <v>2.8835177536475167</v>
      </c>
      <c r="I103" s="14">
        <f t="shared" ref="I103:I125" si="50">+I72/$I$100*100</f>
        <v>22.660080781362709</v>
      </c>
      <c r="J103" s="14">
        <f t="shared" ref="J103:J125" si="51">+J72/$J$100*100</f>
        <v>48.34038082608707</v>
      </c>
      <c r="K103" s="14">
        <f t="shared" ref="K103:K125" si="52">+K72/$K$100*100</f>
        <v>28.042750124673237</v>
      </c>
      <c r="L103" s="14">
        <f t="shared" ref="L103:L125" si="53">+L72/$L$100*100</f>
        <v>32.901394509232354</v>
      </c>
      <c r="M103" s="14">
        <f t="shared" ref="M103:M125" si="54">+M72/$M$100*100</f>
        <v>47.084417795590042</v>
      </c>
      <c r="N103" s="14">
        <f t="shared" ref="N103:N125" si="55">+N72/$N$100*100</f>
        <v>29.717243833219836</v>
      </c>
    </row>
    <row r="104" spans="1:14">
      <c r="A104" s="4" t="str">
        <f t="shared" si="42"/>
        <v xml:space="preserve">Promedio de 3. Cañar - Estándar </v>
      </c>
      <c r="B104" s="14">
        <f t="shared" si="43"/>
        <v>47.99667793666368</v>
      </c>
      <c r="C104" s="14">
        <f t="shared" si="44"/>
        <v>31.60417617878689</v>
      </c>
      <c r="D104" s="14">
        <f t="shared" si="45"/>
        <v>53.061494826993737</v>
      </c>
      <c r="E104" s="14">
        <f t="shared" si="46"/>
        <v>15.051379258329195</v>
      </c>
      <c r="F104" s="14">
        <f t="shared" si="47"/>
        <v>42.124271033701874</v>
      </c>
      <c r="G104" s="14">
        <f t="shared" si="48"/>
        <v>72.57768417448392</v>
      </c>
      <c r="H104" s="14">
        <f t="shared" si="49"/>
        <v>3.1141087396037648</v>
      </c>
      <c r="I104" s="14">
        <f t="shared" si="50"/>
        <v>21.211828446529225</v>
      </c>
      <c r="J104" s="14">
        <f t="shared" si="51"/>
        <v>36.710184920092637</v>
      </c>
      <c r="K104" s="14">
        <f t="shared" si="52"/>
        <v>55.239272929908687</v>
      </c>
      <c r="L104" s="14">
        <f t="shared" si="53"/>
        <v>42.961573900316516</v>
      </c>
      <c r="M104" s="14">
        <f t="shared" si="54"/>
        <v>47.879215920654516</v>
      </c>
      <c r="N104" s="14">
        <f t="shared" si="55"/>
        <v>37.035914498494733</v>
      </c>
    </row>
    <row r="105" spans="1:14">
      <c r="A105" s="4" t="str">
        <f t="shared" si="42"/>
        <v xml:space="preserve">Promedio de 4. Carchi - Estándar </v>
      </c>
      <c r="B105" s="14">
        <f t="shared" si="43"/>
        <v>29.354278162958181</v>
      </c>
      <c r="C105" s="14">
        <f t="shared" si="44"/>
        <v>15.945527691485792</v>
      </c>
      <c r="D105" s="14">
        <f t="shared" si="45"/>
        <v>48.039440287868018</v>
      </c>
      <c r="E105" s="14">
        <f t="shared" si="46"/>
        <v>16.508315152899154</v>
      </c>
      <c r="F105" s="14">
        <f t="shared" si="47"/>
        <v>30.969163589978894</v>
      </c>
      <c r="G105" s="14">
        <f t="shared" si="48"/>
        <v>69.115480625006995</v>
      </c>
      <c r="H105" s="14">
        <f t="shared" si="49"/>
        <v>10.523743121815599</v>
      </c>
      <c r="I105" s="14">
        <f t="shared" si="50"/>
        <v>20.209009355427533</v>
      </c>
      <c r="J105" s="14">
        <f t="shared" si="51"/>
        <v>41.02729930869571</v>
      </c>
      <c r="K105" s="14">
        <f t="shared" si="52"/>
        <v>48.538502722160324</v>
      </c>
      <c r="L105" s="14">
        <f t="shared" si="53"/>
        <v>44.328406783331502</v>
      </c>
      <c r="M105" s="14">
        <f t="shared" si="54"/>
        <v>41.555451267933165</v>
      </c>
      <c r="N105" s="14">
        <f t="shared" si="55"/>
        <v>32.836503438944057</v>
      </c>
    </row>
    <row r="106" spans="1:14">
      <c r="A106" s="4" t="str">
        <f t="shared" si="42"/>
        <v xml:space="preserve">Promedio de 5. Chimborazo - Estándar </v>
      </c>
      <c r="B106" s="14">
        <f t="shared" si="43"/>
        <v>45.838133721114446</v>
      </c>
      <c r="C106" s="14">
        <f t="shared" si="44"/>
        <v>37.944543791389293</v>
      </c>
      <c r="D106" s="14">
        <f t="shared" si="45"/>
        <v>78.001621523719052</v>
      </c>
      <c r="E106" s="14">
        <f t="shared" si="46"/>
        <v>21.358314866380166</v>
      </c>
      <c r="F106" s="14">
        <f t="shared" si="47"/>
        <v>39.265736116927734</v>
      </c>
      <c r="G106" s="14">
        <f t="shared" si="48"/>
        <v>64.50152349703842</v>
      </c>
      <c r="H106" s="14">
        <f t="shared" si="49"/>
        <v>2.5351655229673349</v>
      </c>
      <c r="I106" s="14">
        <f t="shared" si="50"/>
        <v>21.753220918093671</v>
      </c>
      <c r="J106" s="14">
        <f t="shared" si="51"/>
        <v>40.44942862404671</v>
      </c>
      <c r="K106" s="14">
        <f t="shared" si="52"/>
        <v>37.052583144122679</v>
      </c>
      <c r="L106" s="14">
        <f t="shared" si="53"/>
        <v>34.425971277742477</v>
      </c>
      <c r="M106" s="14">
        <f t="shared" si="54"/>
        <v>62.342505754102497</v>
      </c>
      <c r="N106" s="14">
        <f t="shared" si="55"/>
        <v>39.196682697318202</v>
      </c>
    </row>
    <row r="107" spans="1:14">
      <c r="A107" s="4" t="str">
        <f t="shared" si="42"/>
        <v xml:space="preserve">Promedio de 6. Cotopaxi - Estándar </v>
      </c>
      <c r="B107" s="14">
        <f t="shared" si="43"/>
        <v>28.027966296754386</v>
      </c>
      <c r="C107" s="14">
        <f t="shared" si="44"/>
        <v>20.678046491906287</v>
      </c>
      <c r="D107" s="14">
        <f t="shared" si="45"/>
        <v>66.730110560407539</v>
      </c>
      <c r="E107" s="14">
        <f t="shared" si="46"/>
        <v>23.130795732182285</v>
      </c>
      <c r="F107" s="14">
        <f t="shared" si="47"/>
        <v>22.791524109681667</v>
      </c>
      <c r="G107" s="14">
        <f t="shared" si="48"/>
        <v>53.418521852718634</v>
      </c>
      <c r="H107" s="14">
        <f t="shared" si="49"/>
        <v>27.985914035271627</v>
      </c>
      <c r="I107" s="14">
        <f t="shared" si="50"/>
        <v>27.086035466728347</v>
      </c>
      <c r="J107" s="14">
        <f t="shared" si="51"/>
        <v>35.919340894704689</v>
      </c>
      <c r="K107" s="14">
        <f t="shared" si="52"/>
        <v>15.988962741411985</v>
      </c>
      <c r="L107" s="14">
        <f t="shared" si="53"/>
        <v>38.218470724354745</v>
      </c>
      <c r="M107" s="14">
        <f t="shared" si="54"/>
        <v>32.806599334436498</v>
      </c>
      <c r="N107" s="14">
        <f t="shared" si="55"/>
        <v>33.535411479801716</v>
      </c>
    </row>
    <row r="108" spans="1:14">
      <c r="A108" s="4" t="str">
        <f t="shared" si="42"/>
        <v xml:space="preserve">Promedio de 7. El Oro - Estándar </v>
      </c>
      <c r="B108" s="14">
        <f t="shared" si="43"/>
        <v>58.551913583832807</v>
      </c>
      <c r="C108" s="14">
        <f t="shared" si="44"/>
        <v>33.373468683659411</v>
      </c>
      <c r="D108" s="14">
        <f t="shared" si="45"/>
        <v>59.466182843310222</v>
      </c>
      <c r="E108" s="14">
        <f t="shared" si="46"/>
        <v>32.718826236183872</v>
      </c>
      <c r="F108" s="14">
        <f t="shared" si="47"/>
        <v>47.679285583442862</v>
      </c>
      <c r="G108" s="14">
        <f t="shared" si="48"/>
        <v>70.893353773522435</v>
      </c>
      <c r="H108" s="14">
        <f t="shared" si="49"/>
        <v>25.696342709304538</v>
      </c>
      <c r="I108" s="14">
        <f t="shared" si="50"/>
        <v>31.574120599908483</v>
      </c>
      <c r="J108" s="14">
        <f t="shared" si="51"/>
        <v>39.985356071638442</v>
      </c>
      <c r="K108" s="14">
        <f t="shared" si="52"/>
        <v>39.902236181301127</v>
      </c>
      <c r="L108" s="14">
        <f t="shared" si="53"/>
        <v>59.210009520353957</v>
      </c>
      <c r="M108" s="14">
        <f t="shared" si="54"/>
        <v>28.402203560057021</v>
      </c>
      <c r="N108" s="14">
        <f t="shared" si="55"/>
        <v>43.687953619820881</v>
      </c>
    </row>
    <row r="109" spans="1:14">
      <c r="A109" s="4" t="str">
        <f t="shared" si="42"/>
        <v xml:space="preserve">Promedio de 8. Esmeraldas - Estándar </v>
      </c>
      <c r="B109" s="14">
        <f t="shared" si="43"/>
        <v>35.449770046105137</v>
      </c>
      <c r="C109" s="14">
        <f t="shared" si="44"/>
        <v>20.039651156458525</v>
      </c>
      <c r="D109" s="14">
        <f t="shared" si="45"/>
        <v>37.615748605438512</v>
      </c>
      <c r="E109" s="14">
        <f t="shared" si="46"/>
        <v>22.94850132267791</v>
      </c>
      <c r="F109" s="14">
        <f t="shared" si="47"/>
        <v>20.131725555148698</v>
      </c>
      <c r="G109" s="14">
        <f t="shared" si="48"/>
        <v>52.402139878535955</v>
      </c>
      <c r="H109" s="14">
        <f t="shared" si="49"/>
        <v>10.190280142922131</v>
      </c>
      <c r="I109" s="14">
        <f t="shared" si="50"/>
        <v>16.916211578868687</v>
      </c>
      <c r="J109" s="14">
        <f t="shared" si="51"/>
        <v>48.715997682336351</v>
      </c>
      <c r="K109" s="14">
        <f t="shared" si="52"/>
        <v>10.277264663899899</v>
      </c>
      <c r="L109" s="14">
        <f t="shared" si="53"/>
        <v>38.985044325261768</v>
      </c>
      <c r="M109" s="14">
        <f t="shared" si="54"/>
        <v>15.627820967938694</v>
      </c>
      <c r="N109" s="14">
        <f t="shared" si="55"/>
        <v>27.421869204610715</v>
      </c>
    </row>
    <row r="110" spans="1:14">
      <c r="A110" s="4" t="str">
        <f t="shared" si="42"/>
        <v xml:space="preserve">Promedio de 9. Galápagos - Estándar </v>
      </c>
      <c r="B110" s="14">
        <f t="shared" si="43"/>
        <v>79.964392399555592</v>
      </c>
      <c r="C110" s="14">
        <f t="shared" si="44"/>
        <v>47.547021686748124</v>
      </c>
      <c r="D110" s="14">
        <f t="shared" si="45"/>
        <v>89.853417899929582</v>
      </c>
      <c r="E110" s="14">
        <f t="shared" si="46"/>
        <v>47.256519181103876</v>
      </c>
      <c r="F110" s="14">
        <f t="shared" si="47"/>
        <v>74.029681925442702</v>
      </c>
      <c r="G110" s="14">
        <f t="shared" si="48"/>
        <v>24.667058362710538</v>
      </c>
      <c r="H110" s="14">
        <f t="shared" si="49"/>
        <v>34.588247225839929</v>
      </c>
      <c r="I110" s="14">
        <f t="shared" si="50"/>
        <v>39.478535605991659</v>
      </c>
      <c r="J110" s="14">
        <f t="shared" si="51"/>
        <v>50</v>
      </c>
      <c r="K110" s="14">
        <f t="shared" si="52"/>
        <v>78.740250317897036</v>
      </c>
      <c r="L110" s="14">
        <f t="shared" si="53"/>
        <v>64.849247259041078</v>
      </c>
      <c r="M110" s="14">
        <f t="shared" si="54"/>
        <v>68.291430792095767</v>
      </c>
      <c r="N110" s="14">
        <f t="shared" si="55"/>
        <v>54.752643578223434</v>
      </c>
    </row>
    <row r="111" spans="1:14">
      <c r="A111" s="4" t="str">
        <f t="shared" si="42"/>
        <v xml:space="preserve">Promedio de 10. Guayas - Estándar </v>
      </c>
      <c r="B111" s="14">
        <f t="shared" si="43"/>
        <v>32.868514748600631</v>
      </c>
      <c r="C111" s="14">
        <f t="shared" si="44"/>
        <v>42.019014291409171</v>
      </c>
      <c r="D111" s="14">
        <f t="shared" si="45"/>
        <v>25.985485337513303</v>
      </c>
      <c r="E111" s="14">
        <f t="shared" si="46"/>
        <v>67.129352145025649</v>
      </c>
      <c r="F111" s="14">
        <f t="shared" si="47"/>
        <v>32.590112305645057</v>
      </c>
      <c r="G111" s="14">
        <f t="shared" si="48"/>
        <v>72.937120904801702</v>
      </c>
      <c r="H111" s="14">
        <f t="shared" si="49"/>
        <v>48.468861015080584</v>
      </c>
      <c r="I111" s="14">
        <f t="shared" si="50"/>
        <v>58.982295857430486</v>
      </c>
      <c r="J111" s="14">
        <f t="shared" si="51"/>
        <v>45.870857135991358</v>
      </c>
      <c r="K111" s="14">
        <f t="shared" si="52"/>
        <v>4.2577554880047375</v>
      </c>
      <c r="L111" s="14">
        <f t="shared" si="53"/>
        <v>67.785111808675751</v>
      </c>
      <c r="M111" s="14">
        <f t="shared" si="54"/>
        <v>32.450079127539574</v>
      </c>
      <c r="N111" s="14">
        <f t="shared" si="55"/>
        <v>47.833540790853192</v>
      </c>
    </row>
    <row r="112" spans="1:14">
      <c r="A112" s="4" t="str">
        <f t="shared" si="42"/>
        <v xml:space="preserve">Promedio de 11. Imbabura -Estándar </v>
      </c>
      <c r="B112" s="14">
        <f t="shared" si="43"/>
        <v>61.060482317960719</v>
      </c>
      <c r="C112" s="14">
        <f t="shared" si="44"/>
        <v>33.874953162107523</v>
      </c>
      <c r="D112" s="14">
        <f t="shared" si="45"/>
        <v>47.057393937763777</v>
      </c>
      <c r="E112" s="14">
        <f t="shared" si="46"/>
        <v>25.490606838547297</v>
      </c>
      <c r="F112" s="14">
        <f t="shared" si="47"/>
        <v>52.930207951140041</v>
      </c>
      <c r="G112" s="14">
        <f t="shared" si="48"/>
        <v>70.035601866878295</v>
      </c>
      <c r="H112" s="14">
        <f t="shared" si="49"/>
        <v>19.227205647001888</v>
      </c>
      <c r="I112" s="14">
        <f t="shared" si="50"/>
        <v>36.215753539402016</v>
      </c>
      <c r="J112" s="14">
        <f t="shared" si="51"/>
        <v>42.457665346413563</v>
      </c>
      <c r="K112" s="14">
        <f t="shared" si="52"/>
        <v>45.373492792027356</v>
      </c>
      <c r="L112" s="14">
        <f t="shared" si="53"/>
        <v>51.50562543229583</v>
      </c>
      <c r="M112" s="14">
        <f t="shared" si="54"/>
        <v>66.898228095033318</v>
      </c>
      <c r="N112" s="14">
        <f t="shared" si="55"/>
        <v>43.470465525633784</v>
      </c>
    </row>
    <row r="113" spans="1:14">
      <c r="A113" s="29" t="str">
        <f t="shared" si="42"/>
        <v xml:space="preserve">Promedio de 12. Loja - Estándar </v>
      </c>
      <c r="B113" s="28">
        <f t="shared" si="43"/>
        <v>51.917747831003183</v>
      </c>
      <c r="C113" s="28">
        <f t="shared" si="44"/>
        <v>20.138577731280769</v>
      </c>
      <c r="D113" s="28">
        <f t="shared" si="45"/>
        <v>42.825466440078465</v>
      </c>
      <c r="E113" s="28">
        <f t="shared" si="46"/>
        <v>23.178255664999831</v>
      </c>
      <c r="F113" s="28">
        <f t="shared" si="47"/>
        <v>28.386724855994412</v>
      </c>
      <c r="G113" s="28">
        <f t="shared" si="48"/>
        <v>60.977044891808504</v>
      </c>
      <c r="H113" s="28">
        <f t="shared" si="49"/>
        <v>4.0366926406847442E-2</v>
      </c>
      <c r="I113" s="14">
        <f t="shared" si="50"/>
        <v>19.596099345560066</v>
      </c>
      <c r="J113" s="14">
        <f t="shared" si="51"/>
        <v>31.652729935089518</v>
      </c>
      <c r="K113" s="14">
        <f t="shared" si="52"/>
        <v>19.848526100904159</v>
      </c>
      <c r="L113" s="14">
        <f t="shared" si="53"/>
        <v>36.835522653354914</v>
      </c>
      <c r="M113" s="14">
        <f t="shared" si="54"/>
        <v>66.425814998907455</v>
      </c>
      <c r="N113" s="14">
        <f t="shared" si="55"/>
        <v>31.277639438007913</v>
      </c>
    </row>
    <row r="114" spans="1:14">
      <c r="A114" s="4" t="str">
        <f t="shared" si="42"/>
        <v xml:space="preserve">Promedio de 13. Los Ríos - Estándar </v>
      </c>
      <c r="B114" s="14">
        <f t="shared" si="43"/>
        <v>40.471535582048411</v>
      </c>
      <c r="C114" s="14">
        <f t="shared" si="44"/>
        <v>31.952208020044747</v>
      </c>
      <c r="D114" s="14">
        <f t="shared" si="45"/>
        <v>31.185606853408366</v>
      </c>
      <c r="E114" s="14">
        <f t="shared" si="46"/>
        <v>20.953204116658611</v>
      </c>
      <c r="F114" s="14">
        <f t="shared" si="47"/>
        <v>29.25511159734895</v>
      </c>
      <c r="G114" s="14">
        <f t="shared" si="48"/>
        <v>57.036263076967685</v>
      </c>
      <c r="H114" s="14">
        <f t="shared" si="49"/>
        <v>13.657342699191002</v>
      </c>
      <c r="I114" s="14">
        <f t="shared" si="50"/>
        <v>22.647380652831458</v>
      </c>
      <c r="J114" s="14">
        <f t="shared" si="51"/>
        <v>47.560975609756106</v>
      </c>
      <c r="K114" s="14">
        <f t="shared" si="52"/>
        <v>38.538321374367811</v>
      </c>
      <c r="L114" s="14">
        <f t="shared" si="53"/>
        <v>49.502485111248056</v>
      </c>
      <c r="M114" s="14">
        <f t="shared" si="54"/>
        <v>23.265695665793974</v>
      </c>
      <c r="N114" s="14">
        <f t="shared" si="55"/>
        <v>33.245641445502997</v>
      </c>
    </row>
    <row r="115" spans="1:14">
      <c r="A115" s="4" t="str">
        <f t="shared" si="42"/>
        <v xml:space="preserve">Promedio de 14. Manabí - Estáncar </v>
      </c>
      <c r="B115" s="14">
        <f t="shared" si="43"/>
        <v>37.120239027259231</v>
      </c>
      <c r="C115" s="14">
        <f t="shared" si="44"/>
        <v>19.0282919812215</v>
      </c>
      <c r="D115" s="14">
        <f t="shared" si="45"/>
        <v>50.544617501190992</v>
      </c>
      <c r="E115" s="14">
        <f t="shared" si="46"/>
        <v>24.86448833978141</v>
      </c>
      <c r="F115" s="14">
        <f t="shared" si="47"/>
        <v>21.122436683727681</v>
      </c>
      <c r="G115" s="14">
        <f t="shared" si="48"/>
        <v>61.802764809619589</v>
      </c>
      <c r="H115" s="14">
        <f t="shared" si="49"/>
        <v>17.468238048778058</v>
      </c>
      <c r="I115" s="14">
        <f t="shared" si="50"/>
        <v>28.737768046720692</v>
      </c>
      <c r="J115" s="14">
        <f t="shared" si="51"/>
        <v>49.314301937270919</v>
      </c>
      <c r="K115" s="14">
        <f t="shared" si="52"/>
        <v>10.000836479091461</v>
      </c>
      <c r="L115" s="14">
        <f t="shared" si="53"/>
        <v>46.538154825038639</v>
      </c>
      <c r="M115" s="14">
        <f t="shared" si="54"/>
        <v>24.856829692083213</v>
      </c>
      <c r="N115" s="14">
        <f t="shared" si="55"/>
        <v>32.970579145267791</v>
      </c>
    </row>
    <row r="116" spans="1:14">
      <c r="A116" s="4" t="str">
        <f t="shared" si="42"/>
        <v xml:space="preserve">Promedio de 15. Morona Santiago - Estáncar </v>
      </c>
      <c r="B116" s="14">
        <f t="shared" si="43"/>
        <v>36.471901139980915</v>
      </c>
      <c r="C116" s="14">
        <f t="shared" si="44"/>
        <v>21.137930110404461</v>
      </c>
      <c r="D116" s="14">
        <f t="shared" si="45"/>
        <v>68.7910406701927</v>
      </c>
      <c r="E116" s="14">
        <f t="shared" si="46"/>
        <v>14.086170050435873</v>
      </c>
      <c r="F116" s="14">
        <f t="shared" si="47"/>
        <v>54.198383458697762</v>
      </c>
      <c r="G116" s="14">
        <f t="shared" si="48"/>
        <v>44.759978409603498</v>
      </c>
      <c r="H116" s="14">
        <f t="shared" si="49"/>
        <v>0.99590557908401012</v>
      </c>
      <c r="I116" s="14">
        <f t="shared" si="50"/>
        <v>16.445318224507808</v>
      </c>
      <c r="J116" s="14">
        <f t="shared" si="51"/>
        <v>46.453532386813187</v>
      </c>
      <c r="K116" s="14">
        <f t="shared" si="52"/>
        <v>50.546380078405107</v>
      </c>
      <c r="L116" s="14">
        <f t="shared" si="53"/>
        <v>18.556170745663252</v>
      </c>
      <c r="M116" s="14">
        <f t="shared" si="54"/>
        <v>12.320977792866357</v>
      </c>
      <c r="N116" s="14">
        <f t="shared" si="55"/>
        <v>29.533706627347545</v>
      </c>
    </row>
    <row r="117" spans="1:14">
      <c r="A117" s="4" t="str">
        <f t="shared" si="42"/>
        <v xml:space="preserve">Promedio de 16. Napo - Estáncar </v>
      </c>
      <c r="B117" s="14">
        <f t="shared" si="43"/>
        <v>33.860137384586366</v>
      </c>
      <c r="C117" s="14">
        <f t="shared" si="44"/>
        <v>15.298410083637878</v>
      </c>
      <c r="D117" s="14">
        <f t="shared" si="45"/>
        <v>46.328498411071408</v>
      </c>
      <c r="E117" s="14">
        <f t="shared" si="46"/>
        <v>8.8619893064024389</v>
      </c>
      <c r="F117" s="14">
        <f t="shared" si="47"/>
        <v>42.494807102339834</v>
      </c>
      <c r="G117" s="14">
        <f t="shared" si="48"/>
        <v>45.092046531236313</v>
      </c>
      <c r="H117" s="14">
        <f t="shared" si="49"/>
        <v>3.8301203656502691</v>
      </c>
      <c r="I117" s="14">
        <f t="shared" si="50"/>
        <v>12.946020471393387</v>
      </c>
      <c r="J117" s="14">
        <f t="shared" si="51"/>
        <v>48.978773587953803</v>
      </c>
      <c r="K117" s="14">
        <f t="shared" si="52"/>
        <v>28.925593958837499</v>
      </c>
      <c r="L117" s="14">
        <f t="shared" si="53"/>
        <v>38.461139620731529</v>
      </c>
      <c r="M117" s="14">
        <f t="shared" si="54"/>
        <v>27.560086466229233</v>
      </c>
      <c r="N117" s="14">
        <f t="shared" si="55"/>
        <v>26.937712908191553</v>
      </c>
    </row>
    <row r="118" spans="1:14">
      <c r="A118" s="4" t="str">
        <f t="shared" si="42"/>
        <v xml:space="preserve">Promedio de 17. Francisco de Orellana - Estándar </v>
      </c>
      <c r="B118" s="14">
        <f t="shared" si="43"/>
        <v>40.223611462571299</v>
      </c>
      <c r="C118" s="14">
        <f t="shared" si="44"/>
        <v>55.142956952798293</v>
      </c>
      <c r="D118" s="14">
        <f t="shared" si="45"/>
        <v>56.90917388057315</v>
      </c>
      <c r="E118" s="14">
        <f t="shared" si="46"/>
        <v>28.96793209774501</v>
      </c>
      <c r="F118" s="14">
        <f t="shared" si="47"/>
        <v>54.664802899120524</v>
      </c>
      <c r="G118" s="14">
        <f t="shared" si="48"/>
        <v>32.96747888318167</v>
      </c>
      <c r="H118" s="14">
        <f t="shared" si="49"/>
        <v>0.43359124897529111</v>
      </c>
      <c r="I118" s="14">
        <f t="shared" si="50"/>
        <v>20.116634877435551</v>
      </c>
      <c r="J118" s="14">
        <f t="shared" si="51"/>
        <v>48.524455421574508</v>
      </c>
      <c r="K118" s="14">
        <f t="shared" si="52"/>
        <v>43.102225250239115</v>
      </c>
      <c r="L118" s="14">
        <f t="shared" si="53"/>
        <v>27.91700068781509</v>
      </c>
      <c r="M118" s="14">
        <f t="shared" si="54"/>
        <v>11.919709125449563</v>
      </c>
      <c r="N118" s="14">
        <f t="shared" si="55"/>
        <v>34.92436491844007</v>
      </c>
    </row>
    <row r="119" spans="1:14">
      <c r="A119" s="4" t="str">
        <f t="shared" si="42"/>
        <v xml:space="preserve">Promedio de 18. Pastaza - Estáncar </v>
      </c>
      <c r="B119" s="14">
        <f t="shared" si="43"/>
        <v>43.965655057298569</v>
      </c>
      <c r="C119" s="14">
        <f t="shared" si="44"/>
        <v>22.036400969299923</v>
      </c>
      <c r="D119" s="14">
        <f t="shared" si="45"/>
        <v>66.291825928653367</v>
      </c>
      <c r="E119" s="14">
        <f t="shared" si="46"/>
        <v>15.065458459918075</v>
      </c>
      <c r="F119" s="14">
        <f t="shared" si="47"/>
        <v>38.246963807877812</v>
      </c>
      <c r="G119" s="14">
        <f t="shared" si="48"/>
        <v>45.182755115161413</v>
      </c>
      <c r="H119" s="14">
        <f t="shared" si="49"/>
        <v>1.3552522661752147</v>
      </c>
      <c r="I119" s="14">
        <f t="shared" si="50"/>
        <v>21.144117119493924</v>
      </c>
      <c r="J119" s="14">
        <f t="shared" si="51"/>
        <v>49.637398478331349</v>
      </c>
      <c r="K119" s="14">
        <f t="shared" si="52"/>
        <v>39.997969817535733</v>
      </c>
      <c r="L119" s="14">
        <f t="shared" si="53"/>
        <v>29.597979280859889</v>
      </c>
      <c r="M119" s="14">
        <f t="shared" si="54"/>
        <v>50.442985348992707</v>
      </c>
      <c r="N119" s="14">
        <f t="shared" si="55"/>
        <v>32.283747587922981</v>
      </c>
    </row>
    <row r="120" spans="1:14">
      <c r="A120" s="4" t="str">
        <f t="shared" si="42"/>
        <v xml:space="preserve">Promedio de 19. Pichincha - Estándar </v>
      </c>
      <c r="B120" s="14">
        <f t="shared" si="43"/>
        <v>76.773191058661112</v>
      </c>
      <c r="C120" s="14">
        <f t="shared" si="44"/>
        <v>79.713315598302742</v>
      </c>
      <c r="D120" s="14">
        <f t="shared" si="45"/>
        <v>52.116710647134788</v>
      </c>
      <c r="E120" s="14">
        <f t="shared" si="46"/>
        <v>81.019166845981928</v>
      </c>
      <c r="F120" s="14">
        <f t="shared" si="47"/>
        <v>63.622607841463342</v>
      </c>
      <c r="G120" s="14">
        <f t="shared" si="48"/>
        <v>81.071609676744174</v>
      </c>
      <c r="H120" s="14">
        <f t="shared" si="49"/>
        <v>82.301898322812576</v>
      </c>
      <c r="I120" s="14">
        <f t="shared" si="50"/>
        <v>78.97715440132761</v>
      </c>
      <c r="J120" s="14">
        <f t="shared" si="51"/>
        <v>42.959669561547855</v>
      </c>
      <c r="K120" s="14">
        <f t="shared" si="52"/>
        <v>34.958992205532411</v>
      </c>
      <c r="L120" s="14">
        <f t="shared" si="53"/>
        <v>87.620446096752417</v>
      </c>
      <c r="M120" s="14">
        <f t="shared" si="54"/>
        <v>68.453370687455973</v>
      </c>
      <c r="N120" s="14">
        <f t="shared" si="55"/>
        <v>72.606087506553791</v>
      </c>
    </row>
    <row r="121" spans="1:14">
      <c r="A121" s="4" t="str">
        <f t="shared" si="42"/>
        <v xml:space="preserve">Promedio de 20. Sucumbíos - Estáncar </v>
      </c>
      <c r="B121" s="14">
        <f t="shared" si="43"/>
        <v>14.477820421511758</v>
      </c>
      <c r="C121" s="14">
        <f t="shared" si="44"/>
        <v>31.336607626209496</v>
      </c>
      <c r="D121" s="14">
        <f t="shared" si="45"/>
        <v>40.498723199875855</v>
      </c>
      <c r="E121" s="14">
        <f t="shared" si="46"/>
        <v>30.228009447273173</v>
      </c>
      <c r="F121" s="14">
        <f t="shared" si="47"/>
        <v>31.662392199583806</v>
      </c>
      <c r="G121" s="14">
        <f t="shared" si="48"/>
        <v>41.781858215559325</v>
      </c>
      <c r="H121" s="14">
        <f t="shared" si="49"/>
        <v>1.1767474699929396E-2</v>
      </c>
      <c r="I121" s="14">
        <f t="shared" si="50"/>
        <v>19.341171382457276</v>
      </c>
      <c r="J121" s="14">
        <f t="shared" si="51"/>
        <v>44.846090712618221</v>
      </c>
      <c r="K121" s="14">
        <f t="shared" si="52"/>
        <v>21.482916757676225</v>
      </c>
      <c r="L121" s="14">
        <f t="shared" si="53"/>
        <v>29.106213342620517</v>
      </c>
      <c r="M121" s="14">
        <f t="shared" si="54"/>
        <v>11.368062474127202</v>
      </c>
      <c r="N121" s="14">
        <f t="shared" si="55"/>
        <v>26.989129578455895</v>
      </c>
    </row>
    <row r="122" spans="1:14">
      <c r="A122" s="4" t="str">
        <f t="shared" si="42"/>
        <v xml:space="preserve">Promedio de 21. Tungurahua - Estáncar </v>
      </c>
      <c r="B122" s="14">
        <f t="shared" si="43"/>
        <v>61.127621647540195</v>
      </c>
      <c r="C122" s="14">
        <f t="shared" si="44"/>
        <v>39.368689373214707</v>
      </c>
      <c r="D122" s="14">
        <f t="shared" si="45"/>
        <v>53.540284022661254</v>
      </c>
      <c r="E122" s="14">
        <f t="shared" si="46"/>
        <v>41.679039738057519</v>
      </c>
      <c r="F122" s="14">
        <f t="shared" si="47"/>
        <v>37.184862952778509</v>
      </c>
      <c r="G122" s="14">
        <f t="shared" si="48"/>
        <v>69.645563665503232</v>
      </c>
      <c r="H122" s="14">
        <f t="shared" si="49"/>
        <v>7.4656093449264995</v>
      </c>
      <c r="I122" s="14">
        <f t="shared" si="50"/>
        <v>34.237076763558335</v>
      </c>
      <c r="J122" s="14">
        <f t="shared" si="51"/>
        <v>43.541227854711167</v>
      </c>
      <c r="K122" s="14">
        <f t="shared" si="52"/>
        <v>41.828880689378742</v>
      </c>
      <c r="L122" s="14">
        <f t="shared" si="53"/>
        <v>59.122432365784626</v>
      </c>
      <c r="M122" s="14">
        <f t="shared" si="54"/>
        <v>53.424441801785072</v>
      </c>
      <c r="N122" s="14">
        <f t="shared" si="55"/>
        <v>44.329655743341036</v>
      </c>
    </row>
    <row r="123" spans="1:14">
      <c r="A123" s="4" t="str">
        <f t="shared" si="42"/>
        <v xml:space="preserve">Promedio de 22. Zamora Chinchipe - Estándar </v>
      </c>
      <c r="B123" s="14">
        <f t="shared" si="43"/>
        <v>43.102987031858511</v>
      </c>
      <c r="C123" s="14">
        <f t="shared" si="44"/>
        <v>8.4299880609960027</v>
      </c>
      <c r="D123" s="14">
        <f t="shared" si="45"/>
        <v>51.225804293993818</v>
      </c>
      <c r="E123" s="14">
        <f t="shared" si="46"/>
        <v>10.866953270392713</v>
      </c>
      <c r="F123" s="14">
        <f t="shared" si="47"/>
        <v>47.06226039825669</v>
      </c>
      <c r="G123" s="14">
        <f t="shared" si="48"/>
        <v>45.001998082064418</v>
      </c>
      <c r="H123" s="14">
        <f t="shared" si="49"/>
        <v>0.22699023351282843</v>
      </c>
      <c r="I123" s="14">
        <f t="shared" si="50"/>
        <v>15.69305166942673</v>
      </c>
      <c r="J123" s="14">
        <f t="shared" si="51"/>
        <v>48.396901501347713</v>
      </c>
      <c r="K123" s="14">
        <f t="shared" si="52"/>
        <v>40.504035007032002</v>
      </c>
      <c r="L123" s="14">
        <f t="shared" si="53"/>
        <v>28.602870806674787</v>
      </c>
      <c r="M123" s="14">
        <f t="shared" si="54"/>
        <v>33.433390860097987</v>
      </c>
      <c r="N123" s="14">
        <f t="shared" si="55"/>
        <v>27.051243784685575</v>
      </c>
    </row>
    <row r="124" spans="1:14">
      <c r="A124" s="4" t="str">
        <f t="shared" si="42"/>
        <v>Promedio de 23. Santa Elena</v>
      </c>
      <c r="B124" s="14">
        <f t="shared" si="43"/>
        <v>42.957353435136831</v>
      </c>
      <c r="C124" s="14">
        <f t="shared" si="44"/>
        <v>36.218328108745787</v>
      </c>
      <c r="D124" s="14">
        <f t="shared" si="45"/>
        <v>46.530658609027512</v>
      </c>
      <c r="E124" s="14">
        <f t="shared" si="46"/>
        <v>22.878012383459886</v>
      </c>
      <c r="F124" s="14">
        <f t="shared" si="47"/>
        <v>44.61295658052579</v>
      </c>
      <c r="G124" s="14">
        <f t="shared" si="48"/>
        <v>60.752919907547295</v>
      </c>
      <c r="H124" s="14">
        <f t="shared" si="49"/>
        <v>8.8144343799153848</v>
      </c>
      <c r="I124" s="14">
        <f t="shared" si="50"/>
        <v>32.337785247655731</v>
      </c>
      <c r="J124" s="14">
        <f t="shared" si="51"/>
        <v>42.653623895217486</v>
      </c>
      <c r="K124" s="14">
        <f t="shared" si="52"/>
        <v>58.690096321824583</v>
      </c>
      <c r="L124" s="14">
        <f t="shared" si="53"/>
        <v>41.385632463826795</v>
      </c>
      <c r="M124" s="14">
        <f t="shared" si="54"/>
        <v>15.241720355645466</v>
      </c>
      <c r="N124" s="14">
        <f t="shared" si="55"/>
        <v>36.91048104487264</v>
      </c>
    </row>
    <row r="125" spans="1:14">
      <c r="A125" s="4" t="str">
        <f t="shared" si="42"/>
        <v>Promedio de 24. Santo Domingo de los Tsachilas</v>
      </c>
      <c r="B125" s="14">
        <f t="shared" si="43"/>
        <v>34.08846794997045</v>
      </c>
      <c r="C125" s="14">
        <f t="shared" si="44"/>
        <v>22.919239862557557</v>
      </c>
      <c r="D125" s="14">
        <f t="shared" si="45"/>
        <v>72.134573202243431</v>
      </c>
      <c r="E125" s="14">
        <f t="shared" si="46"/>
        <v>30.757113894813561</v>
      </c>
      <c r="F125" s="14">
        <f t="shared" si="47"/>
        <v>29.454344105000935</v>
      </c>
      <c r="G125" s="14">
        <f t="shared" si="48"/>
        <v>69.152632190589912</v>
      </c>
      <c r="H125" s="14">
        <f t="shared" si="49"/>
        <v>13.515419114088415</v>
      </c>
      <c r="I125" s="14">
        <f t="shared" si="50"/>
        <v>30.468269993574669</v>
      </c>
      <c r="J125" s="14">
        <f t="shared" si="51"/>
        <v>51.333589789961366</v>
      </c>
      <c r="K125" s="14">
        <f t="shared" si="52"/>
        <v>12.121947610419717</v>
      </c>
      <c r="L125" s="14">
        <f t="shared" si="53"/>
        <v>47.224922189559273</v>
      </c>
      <c r="M125" s="14">
        <f t="shared" si="54"/>
        <v>28.096174138035718</v>
      </c>
      <c r="N125" s="14">
        <f t="shared" si="55"/>
        <v>37.517905217539962</v>
      </c>
    </row>
    <row r="126" spans="1:14">
      <c r="A126" s="15" t="s">
        <v>322</v>
      </c>
      <c r="B126" s="16">
        <f>+AVERAGE(B102:B125)</f>
        <v>44.395274118828063</v>
      </c>
      <c r="C126" s="16">
        <f t="shared" ref="C126:N126" si="56">+AVERAGE(C102:C125)</f>
        <v>30.680023799963838</v>
      </c>
      <c r="D126" s="16">
        <f t="shared" si="56"/>
        <v>55.371254128129038</v>
      </c>
      <c r="E126" s="16">
        <f t="shared" si="56"/>
        <v>28.152546631116454</v>
      </c>
      <c r="F126" s="16">
        <f t="shared" si="56"/>
        <v>39.22074442093956</v>
      </c>
      <c r="G126" s="16">
        <f t="shared" si="56"/>
        <v>58.754764143501063</v>
      </c>
      <c r="H126" s="16">
        <f t="shared" si="56"/>
        <v>14.339373437911618</v>
      </c>
      <c r="I126" s="16">
        <f t="shared" si="56"/>
        <v>28.733454514443611</v>
      </c>
      <c r="J126" s="16">
        <f t="shared" si="56"/>
        <v>44.254618156664115</v>
      </c>
      <c r="K126" s="16">
        <f t="shared" si="56"/>
        <v>34.506151797559561</v>
      </c>
      <c r="L126" s="16">
        <f t="shared" si="56"/>
        <v>44.79233976783005</v>
      </c>
      <c r="M126" s="16">
        <f t="shared" si="56"/>
        <v>38.476080188794128</v>
      </c>
      <c r="N126" s="16">
        <f t="shared" si="56"/>
        <v>37.659020266427028</v>
      </c>
    </row>
    <row r="129" spans="1:14">
      <c r="A129" s="18" t="s">
        <v>376</v>
      </c>
    </row>
    <row r="130" spans="1:14">
      <c r="A130" s="30" t="str">
        <f>+A101</f>
        <v>Valores</v>
      </c>
      <c r="B130" s="30" t="str">
        <f t="shared" ref="B130:N130" si="57">+B101</f>
        <v>Desarrollo Integral de las personas</v>
      </c>
      <c r="C130" s="30" t="str">
        <f t="shared" si="57"/>
        <v>Desempeño Económico</v>
      </c>
      <c r="D130" s="30" t="str">
        <f t="shared" si="57"/>
        <v>Empleo</v>
      </c>
      <c r="E130" s="30" t="str">
        <f t="shared" si="57"/>
        <v>Gestión Empresarial</v>
      </c>
      <c r="F130" s="30" t="str">
        <f t="shared" si="57"/>
        <v>Gestión, Gobiernos e Instituciones</v>
      </c>
      <c r="G130" s="30" t="str">
        <f t="shared" si="57"/>
        <v>Infraestructura y Localización</v>
      </c>
      <c r="H130" s="30" t="str">
        <f t="shared" si="57"/>
        <v>Internacionalización y Apertura</v>
      </c>
      <c r="I130" s="30" t="str">
        <f t="shared" si="57"/>
        <v>Mercados financieros</v>
      </c>
      <c r="J130" s="30" t="str">
        <f t="shared" si="57"/>
        <v>Recursos Naturales y Ambiente</v>
      </c>
      <c r="K130" s="30" t="str">
        <f t="shared" si="57"/>
        <v>Seguridad Jurídica</v>
      </c>
      <c r="L130" s="30" t="str">
        <f t="shared" si="57"/>
        <v>Urbanización</v>
      </c>
      <c r="M130" s="30" t="str">
        <f t="shared" si="57"/>
        <v>Habilitantes de Innovación, Ciencia y Tecnología</v>
      </c>
      <c r="N130" s="30" t="str">
        <f t="shared" si="57"/>
        <v>Total general</v>
      </c>
    </row>
    <row r="131" spans="1:14">
      <c r="A131" s="4" t="str">
        <f>+VLOOKUP(A102,Listas!$B$6:$C$29,2,FALSE)</f>
        <v>Azuay</v>
      </c>
      <c r="B131" s="14">
        <f t="shared" ref="B131:N131" si="58">+B102</f>
        <v>55.434288884426287</v>
      </c>
      <c r="C131" s="14">
        <f t="shared" si="58"/>
        <v>43.441651067617762</v>
      </c>
      <c r="D131" s="14">
        <f t="shared" si="58"/>
        <v>76.41402986100718</v>
      </c>
      <c r="E131" s="14">
        <f t="shared" si="58"/>
        <v>45.39235203231614</v>
      </c>
      <c r="F131" s="14">
        <f t="shared" si="58"/>
        <v>41.712380330867838</v>
      </c>
      <c r="G131" s="14">
        <f t="shared" si="58"/>
        <v>75.82068883367036</v>
      </c>
      <c r="H131" s="14">
        <f t="shared" si="58"/>
        <v>8.8146405922075974</v>
      </c>
      <c r="I131" s="14">
        <f t="shared" si="58"/>
        <v>40.827968000960567</v>
      </c>
      <c r="J131" s="14">
        <f t="shared" si="58"/>
        <v>36.781054277739024</v>
      </c>
      <c r="K131" s="14">
        <f t="shared" si="58"/>
        <v>24.187850384777683</v>
      </c>
      <c r="L131" s="14">
        <f t="shared" si="58"/>
        <v>59.374328697385472</v>
      </c>
      <c r="M131" s="14">
        <f t="shared" si="58"/>
        <v>53.278712508208059</v>
      </c>
      <c r="N131" s="14">
        <f t="shared" si="58"/>
        <v>47.750362781198334</v>
      </c>
    </row>
    <row r="132" spans="1:14">
      <c r="A132" s="4" t="str">
        <f>+VLOOKUP(A103,Listas!$B$6:$C$29,2,FALSE)</f>
        <v>Bolívar</v>
      </c>
      <c r="B132" s="14">
        <f t="shared" ref="B132:N132" si="59">+B103</f>
        <v>34.38189172447467</v>
      </c>
      <c r="C132" s="14">
        <f t="shared" si="59"/>
        <v>7.1315725188494845</v>
      </c>
      <c r="D132" s="14">
        <f t="shared" si="59"/>
        <v>67.76218973104065</v>
      </c>
      <c r="E132" s="14">
        <f t="shared" si="59"/>
        <v>5.2703627652292955</v>
      </c>
      <c r="F132" s="14">
        <f t="shared" si="59"/>
        <v>15.105123117856001</v>
      </c>
      <c r="G132" s="14">
        <f t="shared" si="59"/>
        <v>68.520252219071125</v>
      </c>
      <c r="H132" s="14">
        <f t="shared" si="59"/>
        <v>2.8835177536475167</v>
      </c>
      <c r="I132" s="14">
        <f t="shared" si="59"/>
        <v>22.660080781362709</v>
      </c>
      <c r="J132" s="14">
        <f t="shared" si="59"/>
        <v>48.34038082608707</v>
      </c>
      <c r="K132" s="14">
        <f t="shared" si="59"/>
        <v>28.042750124673237</v>
      </c>
      <c r="L132" s="14">
        <f t="shared" si="59"/>
        <v>32.901394509232354</v>
      </c>
      <c r="M132" s="14">
        <f t="shared" si="59"/>
        <v>47.084417795590042</v>
      </c>
      <c r="N132" s="14">
        <f t="shared" si="59"/>
        <v>29.717243833219836</v>
      </c>
    </row>
    <row r="133" spans="1:14">
      <c r="A133" s="4" t="str">
        <f>+VLOOKUP(A104,Listas!$B$6:$C$29,2,FALSE)</f>
        <v>Cañar</v>
      </c>
      <c r="B133" s="14">
        <f t="shared" ref="B133:N133" si="60">+B104</f>
        <v>47.99667793666368</v>
      </c>
      <c r="C133" s="14">
        <f t="shared" si="60"/>
        <v>31.60417617878689</v>
      </c>
      <c r="D133" s="14">
        <f t="shared" si="60"/>
        <v>53.061494826993737</v>
      </c>
      <c r="E133" s="14">
        <f t="shared" si="60"/>
        <v>15.051379258329195</v>
      </c>
      <c r="F133" s="14">
        <f t="shared" si="60"/>
        <v>42.124271033701874</v>
      </c>
      <c r="G133" s="14">
        <f t="shared" si="60"/>
        <v>72.57768417448392</v>
      </c>
      <c r="H133" s="14">
        <f t="shared" si="60"/>
        <v>3.1141087396037648</v>
      </c>
      <c r="I133" s="14">
        <f t="shared" si="60"/>
        <v>21.211828446529225</v>
      </c>
      <c r="J133" s="14">
        <f t="shared" si="60"/>
        <v>36.710184920092637</v>
      </c>
      <c r="K133" s="14">
        <f t="shared" si="60"/>
        <v>55.239272929908687</v>
      </c>
      <c r="L133" s="14">
        <f t="shared" si="60"/>
        <v>42.961573900316516</v>
      </c>
      <c r="M133" s="14">
        <f t="shared" si="60"/>
        <v>47.879215920654516</v>
      </c>
      <c r="N133" s="14">
        <f t="shared" si="60"/>
        <v>37.035914498494733</v>
      </c>
    </row>
    <row r="134" spans="1:14">
      <c r="A134" s="4" t="str">
        <f>+VLOOKUP(A105,Listas!$B$6:$C$29,2,FALSE)</f>
        <v>Carchi</v>
      </c>
      <c r="B134" s="14">
        <f t="shared" ref="B134:N134" si="61">+B105</f>
        <v>29.354278162958181</v>
      </c>
      <c r="C134" s="14">
        <f t="shared" si="61"/>
        <v>15.945527691485792</v>
      </c>
      <c r="D134" s="14">
        <f t="shared" si="61"/>
        <v>48.039440287868018</v>
      </c>
      <c r="E134" s="14">
        <f t="shared" si="61"/>
        <v>16.508315152899154</v>
      </c>
      <c r="F134" s="14">
        <f t="shared" si="61"/>
        <v>30.969163589978894</v>
      </c>
      <c r="G134" s="14">
        <f t="shared" si="61"/>
        <v>69.115480625006995</v>
      </c>
      <c r="H134" s="14">
        <f t="shared" si="61"/>
        <v>10.523743121815599</v>
      </c>
      <c r="I134" s="14">
        <f t="shared" si="61"/>
        <v>20.209009355427533</v>
      </c>
      <c r="J134" s="14">
        <f t="shared" si="61"/>
        <v>41.02729930869571</v>
      </c>
      <c r="K134" s="14">
        <f t="shared" si="61"/>
        <v>48.538502722160324</v>
      </c>
      <c r="L134" s="14">
        <f t="shared" si="61"/>
        <v>44.328406783331502</v>
      </c>
      <c r="M134" s="14">
        <f t="shared" si="61"/>
        <v>41.555451267933165</v>
      </c>
      <c r="N134" s="14">
        <f t="shared" si="61"/>
        <v>32.836503438944057</v>
      </c>
    </row>
    <row r="135" spans="1:14">
      <c r="A135" s="4" t="str">
        <f>+VLOOKUP(A106,Listas!$B$6:$C$29,2,FALSE)</f>
        <v>Chimborazo</v>
      </c>
      <c r="B135" s="14">
        <f t="shared" ref="B135:N135" si="62">+B106</f>
        <v>45.838133721114446</v>
      </c>
      <c r="C135" s="14">
        <f t="shared" si="62"/>
        <v>37.944543791389293</v>
      </c>
      <c r="D135" s="14">
        <f t="shared" si="62"/>
        <v>78.001621523719052</v>
      </c>
      <c r="E135" s="14">
        <f t="shared" si="62"/>
        <v>21.358314866380166</v>
      </c>
      <c r="F135" s="14">
        <f t="shared" si="62"/>
        <v>39.265736116927734</v>
      </c>
      <c r="G135" s="14">
        <f t="shared" si="62"/>
        <v>64.50152349703842</v>
      </c>
      <c r="H135" s="14">
        <f t="shared" si="62"/>
        <v>2.5351655229673349</v>
      </c>
      <c r="I135" s="14">
        <f t="shared" si="62"/>
        <v>21.753220918093671</v>
      </c>
      <c r="J135" s="14">
        <f t="shared" si="62"/>
        <v>40.44942862404671</v>
      </c>
      <c r="K135" s="14">
        <f t="shared" si="62"/>
        <v>37.052583144122679</v>
      </c>
      <c r="L135" s="14">
        <f t="shared" si="62"/>
        <v>34.425971277742477</v>
      </c>
      <c r="M135" s="14">
        <f t="shared" si="62"/>
        <v>62.342505754102497</v>
      </c>
      <c r="N135" s="14">
        <f t="shared" si="62"/>
        <v>39.196682697318202</v>
      </c>
    </row>
    <row r="136" spans="1:14">
      <c r="A136" s="4" t="str">
        <f>+VLOOKUP(A107,Listas!$B$6:$C$29,2,FALSE)</f>
        <v>Cotopaxi</v>
      </c>
      <c r="B136" s="14">
        <f t="shared" ref="B136:N136" si="63">+B107</f>
        <v>28.027966296754386</v>
      </c>
      <c r="C136" s="14">
        <f t="shared" si="63"/>
        <v>20.678046491906287</v>
      </c>
      <c r="D136" s="14">
        <f t="shared" si="63"/>
        <v>66.730110560407539</v>
      </c>
      <c r="E136" s="14">
        <f t="shared" si="63"/>
        <v>23.130795732182285</v>
      </c>
      <c r="F136" s="14">
        <f t="shared" si="63"/>
        <v>22.791524109681667</v>
      </c>
      <c r="G136" s="14">
        <f t="shared" si="63"/>
        <v>53.418521852718634</v>
      </c>
      <c r="H136" s="14">
        <f t="shared" si="63"/>
        <v>27.985914035271627</v>
      </c>
      <c r="I136" s="14">
        <f t="shared" si="63"/>
        <v>27.086035466728347</v>
      </c>
      <c r="J136" s="14">
        <f t="shared" si="63"/>
        <v>35.919340894704689</v>
      </c>
      <c r="K136" s="14">
        <f t="shared" si="63"/>
        <v>15.988962741411985</v>
      </c>
      <c r="L136" s="14">
        <f t="shared" si="63"/>
        <v>38.218470724354745</v>
      </c>
      <c r="M136" s="14">
        <f t="shared" si="63"/>
        <v>32.806599334436498</v>
      </c>
      <c r="N136" s="14">
        <f t="shared" si="63"/>
        <v>33.535411479801716</v>
      </c>
    </row>
    <row r="137" spans="1:14">
      <c r="A137" s="4" t="str">
        <f>+VLOOKUP(A108,Listas!$B$6:$C$29,2,FALSE)</f>
        <v>El Oro</v>
      </c>
      <c r="B137" s="14">
        <f t="shared" ref="B137:N137" si="64">+B108</f>
        <v>58.551913583832807</v>
      </c>
      <c r="C137" s="14">
        <f t="shared" si="64"/>
        <v>33.373468683659411</v>
      </c>
      <c r="D137" s="14">
        <f t="shared" si="64"/>
        <v>59.466182843310222</v>
      </c>
      <c r="E137" s="14">
        <f t="shared" si="64"/>
        <v>32.718826236183872</v>
      </c>
      <c r="F137" s="14">
        <f t="shared" si="64"/>
        <v>47.679285583442862</v>
      </c>
      <c r="G137" s="14">
        <f t="shared" si="64"/>
        <v>70.893353773522435</v>
      </c>
      <c r="H137" s="14">
        <f t="shared" si="64"/>
        <v>25.696342709304538</v>
      </c>
      <c r="I137" s="14">
        <f t="shared" si="64"/>
        <v>31.574120599908483</v>
      </c>
      <c r="J137" s="14">
        <f t="shared" si="64"/>
        <v>39.985356071638442</v>
      </c>
      <c r="K137" s="14">
        <f t="shared" si="64"/>
        <v>39.902236181301127</v>
      </c>
      <c r="L137" s="14">
        <f t="shared" si="64"/>
        <v>59.210009520353957</v>
      </c>
      <c r="M137" s="14">
        <f t="shared" si="64"/>
        <v>28.402203560057021</v>
      </c>
      <c r="N137" s="14">
        <f t="shared" si="64"/>
        <v>43.687953619820881</v>
      </c>
    </row>
    <row r="138" spans="1:14">
      <c r="A138" s="4" t="str">
        <f>+VLOOKUP(A109,Listas!$B$6:$C$29,2,FALSE)</f>
        <v>Esmeraldas</v>
      </c>
      <c r="B138" s="14">
        <f t="shared" ref="B138:N138" si="65">+B109</f>
        <v>35.449770046105137</v>
      </c>
      <c r="C138" s="14">
        <f t="shared" si="65"/>
        <v>20.039651156458525</v>
      </c>
      <c r="D138" s="14">
        <f t="shared" si="65"/>
        <v>37.615748605438512</v>
      </c>
      <c r="E138" s="14">
        <f t="shared" si="65"/>
        <v>22.94850132267791</v>
      </c>
      <c r="F138" s="14">
        <f t="shared" si="65"/>
        <v>20.131725555148698</v>
      </c>
      <c r="G138" s="14">
        <f t="shared" si="65"/>
        <v>52.402139878535955</v>
      </c>
      <c r="H138" s="14">
        <f t="shared" si="65"/>
        <v>10.190280142922131</v>
      </c>
      <c r="I138" s="14">
        <f t="shared" si="65"/>
        <v>16.916211578868687</v>
      </c>
      <c r="J138" s="14">
        <f t="shared" si="65"/>
        <v>48.715997682336351</v>
      </c>
      <c r="K138" s="14">
        <f t="shared" si="65"/>
        <v>10.277264663899899</v>
      </c>
      <c r="L138" s="14">
        <f t="shared" si="65"/>
        <v>38.985044325261768</v>
      </c>
      <c r="M138" s="14">
        <f t="shared" si="65"/>
        <v>15.627820967938694</v>
      </c>
      <c r="N138" s="14">
        <f t="shared" si="65"/>
        <v>27.421869204610715</v>
      </c>
    </row>
    <row r="139" spans="1:14">
      <c r="A139" s="4" t="str">
        <f>+VLOOKUP(A110,Listas!$B$6:$C$29,2,FALSE)</f>
        <v>Galápagos</v>
      </c>
      <c r="B139" s="14">
        <f t="shared" ref="B139:N139" si="66">+B110</f>
        <v>79.964392399555592</v>
      </c>
      <c r="C139" s="14">
        <f t="shared" si="66"/>
        <v>47.547021686748124</v>
      </c>
      <c r="D139" s="14">
        <f t="shared" si="66"/>
        <v>89.853417899929582</v>
      </c>
      <c r="E139" s="14">
        <f t="shared" si="66"/>
        <v>47.256519181103876</v>
      </c>
      <c r="F139" s="14">
        <f t="shared" si="66"/>
        <v>74.029681925442702</v>
      </c>
      <c r="G139" s="14">
        <f t="shared" si="66"/>
        <v>24.667058362710538</v>
      </c>
      <c r="H139" s="14">
        <f t="shared" si="66"/>
        <v>34.588247225839929</v>
      </c>
      <c r="I139" s="14">
        <f t="shared" si="66"/>
        <v>39.478535605991659</v>
      </c>
      <c r="J139" s="14">
        <f t="shared" si="66"/>
        <v>50</v>
      </c>
      <c r="K139" s="14">
        <f t="shared" si="66"/>
        <v>78.740250317897036</v>
      </c>
      <c r="L139" s="14">
        <f t="shared" si="66"/>
        <v>64.849247259041078</v>
      </c>
      <c r="M139" s="14">
        <f t="shared" si="66"/>
        <v>68.291430792095767</v>
      </c>
      <c r="N139" s="14">
        <f t="shared" si="66"/>
        <v>54.752643578223434</v>
      </c>
    </row>
    <row r="140" spans="1:14">
      <c r="A140" s="4" t="str">
        <f>+VLOOKUP(A111,Listas!$B$6:$C$29,2,FALSE)</f>
        <v>Guayas</v>
      </c>
      <c r="B140" s="14">
        <f t="shared" ref="B140:N140" si="67">+B111</f>
        <v>32.868514748600631</v>
      </c>
      <c r="C140" s="14">
        <f t="shared" si="67"/>
        <v>42.019014291409171</v>
      </c>
      <c r="D140" s="14">
        <f t="shared" si="67"/>
        <v>25.985485337513303</v>
      </c>
      <c r="E140" s="14">
        <f t="shared" si="67"/>
        <v>67.129352145025649</v>
      </c>
      <c r="F140" s="14">
        <f t="shared" si="67"/>
        <v>32.590112305645057</v>
      </c>
      <c r="G140" s="14">
        <f t="shared" si="67"/>
        <v>72.937120904801702</v>
      </c>
      <c r="H140" s="14">
        <f t="shared" si="67"/>
        <v>48.468861015080584</v>
      </c>
      <c r="I140" s="14">
        <f t="shared" si="67"/>
        <v>58.982295857430486</v>
      </c>
      <c r="J140" s="14">
        <f t="shared" si="67"/>
        <v>45.870857135991358</v>
      </c>
      <c r="K140" s="14">
        <f t="shared" si="67"/>
        <v>4.2577554880047375</v>
      </c>
      <c r="L140" s="14">
        <f t="shared" si="67"/>
        <v>67.785111808675751</v>
      </c>
      <c r="M140" s="14">
        <f t="shared" si="67"/>
        <v>32.450079127539574</v>
      </c>
      <c r="N140" s="14">
        <f t="shared" si="67"/>
        <v>47.833540790853192</v>
      </c>
    </row>
    <row r="141" spans="1:14">
      <c r="A141" s="4" t="str">
        <f>+VLOOKUP(A112,Listas!$B$6:$C$29,2,FALSE)</f>
        <v>Imbabura</v>
      </c>
      <c r="B141" s="14">
        <f t="shared" ref="B141:N141" si="68">+B112</f>
        <v>61.060482317960719</v>
      </c>
      <c r="C141" s="14">
        <f t="shared" si="68"/>
        <v>33.874953162107523</v>
      </c>
      <c r="D141" s="14">
        <f t="shared" si="68"/>
        <v>47.057393937763777</v>
      </c>
      <c r="E141" s="14">
        <f t="shared" si="68"/>
        <v>25.490606838547297</v>
      </c>
      <c r="F141" s="14">
        <f t="shared" si="68"/>
        <v>52.930207951140041</v>
      </c>
      <c r="G141" s="14">
        <f t="shared" si="68"/>
        <v>70.035601866878295</v>
      </c>
      <c r="H141" s="14">
        <f t="shared" si="68"/>
        <v>19.227205647001888</v>
      </c>
      <c r="I141" s="14">
        <f t="shared" si="68"/>
        <v>36.215753539402016</v>
      </c>
      <c r="J141" s="14">
        <f t="shared" si="68"/>
        <v>42.457665346413563</v>
      </c>
      <c r="K141" s="14">
        <f t="shared" si="68"/>
        <v>45.373492792027356</v>
      </c>
      <c r="L141" s="14">
        <f t="shared" si="68"/>
        <v>51.50562543229583</v>
      </c>
      <c r="M141" s="14">
        <f t="shared" si="68"/>
        <v>66.898228095033318</v>
      </c>
      <c r="N141" s="14">
        <f t="shared" si="68"/>
        <v>43.470465525633784</v>
      </c>
    </row>
    <row r="142" spans="1:14">
      <c r="A142" s="4" t="str">
        <f>+VLOOKUP(A113,Listas!$B$6:$C$29,2,FALSE)</f>
        <v>Loja</v>
      </c>
      <c r="B142" s="14">
        <f t="shared" ref="B142:N142" si="69">+B113</f>
        <v>51.917747831003183</v>
      </c>
      <c r="C142" s="14">
        <f t="shared" si="69"/>
        <v>20.138577731280769</v>
      </c>
      <c r="D142" s="14">
        <f t="shared" si="69"/>
        <v>42.825466440078465</v>
      </c>
      <c r="E142" s="14">
        <f t="shared" si="69"/>
        <v>23.178255664999831</v>
      </c>
      <c r="F142" s="14">
        <f t="shared" si="69"/>
        <v>28.386724855994412</v>
      </c>
      <c r="G142" s="14">
        <f t="shared" si="69"/>
        <v>60.977044891808504</v>
      </c>
      <c r="H142" s="14">
        <f t="shared" si="69"/>
        <v>4.0366926406847442E-2</v>
      </c>
      <c r="I142" s="14">
        <f t="shared" si="69"/>
        <v>19.596099345560066</v>
      </c>
      <c r="J142" s="14">
        <f t="shared" si="69"/>
        <v>31.652729935089518</v>
      </c>
      <c r="K142" s="14">
        <f t="shared" si="69"/>
        <v>19.848526100904159</v>
      </c>
      <c r="L142" s="14">
        <f t="shared" si="69"/>
        <v>36.835522653354914</v>
      </c>
      <c r="M142" s="14">
        <f t="shared" si="69"/>
        <v>66.425814998907455</v>
      </c>
      <c r="N142" s="14">
        <f t="shared" si="69"/>
        <v>31.277639438007913</v>
      </c>
    </row>
    <row r="143" spans="1:14">
      <c r="A143" s="4" t="str">
        <f>+VLOOKUP(A114,Listas!$B$6:$C$29,2,FALSE)</f>
        <v>Los Ríos</v>
      </c>
      <c r="B143" s="14">
        <f t="shared" ref="B143:N143" si="70">+B114</f>
        <v>40.471535582048411</v>
      </c>
      <c r="C143" s="14">
        <f t="shared" si="70"/>
        <v>31.952208020044747</v>
      </c>
      <c r="D143" s="14">
        <f t="shared" si="70"/>
        <v>31.185606853408366</v>
      </c>
      <c r="E143" s="14">
        <f t="shared" si="70"/>
        <v>20.953204116658611</v>
      </c>
      <c r="F143" s="14">
        <f t="shared" si="70"/>
        <v>29.25511159734895</v>
      </c>
      <c r="G143" s="14">
        <f t="shared" si="70"/>
        <v>57.036263076967685</v>
      </c>
      <c r="H143" s="14">
        <f t="shared" si="70"/>
        <v>13.657342699191002</v>
      </c>
      <c r="I143" s="14">
        <f t="shared" si="70"/>
        <v>22.647380652831458</v>
      </c>
      <c r="J143" s="14">
        <f t="shared" si="70"/>
        <v>47.560975609756106</v>
      </c>
      <c r="K143" s="14">
        <f t="shared" si="70"/>
        <v>38.538321374367811</v>
      </c>
      <c r="L143" s="14">
        <f t="shared" si="70"/>
        <v>49.502485111248056</v>
      </c>
      <c r="M143" s="14">
        <f t="shared" si="70"/>
        <v>23.265695665793974</v>
      </c>
      <c r="N143" s="14">
        <f t="shared" si="70"/>
        <v>33.245641445502997</v>
      </c>
    </row>
    <row r="144" spans="1:14">
      <c r="A144" s="4" t="str">
        <f>+VLOOKUP(A115,Listas!$B$6:$C$29,2,FALSE)</f>
        <v>Manabí</v>
      </c>
      <c r="B144" s="14">
        <f t="shared" ref="B144:N144" si="71">+B115</f>
        <v>37.120239027259231</v>
      </c>
      <c r="C144" s="14">
        <f t="shared" si="71"/>
        <v>19.0282919812215</v>
      </c>
      <c r="D144" s="14">
        <f t="shared" si="71"/>
        <v>50.544617501190992</v>
      </c>
      <c r="E144" s="14">
        <f t="shared" si="71"/>
        <v>24.86448833978141</v>
      </c>
      <c r="F144" s="14">
        <f t="shared" si="71"/>
        <v>21.122436683727681</v>
      </c>
      <c r="G144" s="14">
        <f t="shared" si="71"/>
        <v>61.802764809619589</v>
      </c>
      <c r="H144" s="14">
        <f t="shared" si="71"/>
        <v>17.468238048778058</v>
      </c>
      <c r="I144" s="14">
        <f t="shared" si="71"/>
        <v>28.737768046720692</v>
      </c>
      <c r="J144" s="14">
        <f t="shared" si="71"/>
        <v>49.314301937270919</v>
      </c>
      <c r="K144" s="14">
        <f t="shared" si="71"/>
        <v>10.000836479091461</v>
      </c>
      <c r="L144" s="14">
        <f t="shared" si="71"/>
        <v>46.538154825038639</v>
      </c>
      <c r="M144" s="14">
        <f t="shared" si="71"/>
        <v>24.856829692083213</v>
      </c>
      <c r="N144" s="14">
        <f t="shared" si="71"/>
        <v>32.970579145267791</v>
      </c>
    </row>
    <row r="145" spans="1:14">
      <c r="A145" s="4" t="str">
        <f>+VLOOKUP(A116,Listas!$B$6:$C$29,2,FALSE)</f>
        <v>Morona Santiago</v>
      </c>
      <c r="B145" s="14">
        <f t="shared" ref="B145:N145" si="72">+B116</f>
        <v>36.471901139980915</v>
      </c>
      <c r="C145" s="14">
        <f t="shared" si="72"/>
        <v>21.137930110404461</v>
      </c>
      <c r="D145" s="14">
        <f t="shared" si="72"/>
        <v>68.7910406701927</v>
      </c>
      <c r="E145" s="14">
        <f t="shared" si="72"/>
        <v>14.086170050435873</v>
      </c>
      <c r="F145" s="14">
        <f t="shared" si="72"/>
        <v>54.198383458697762</v>
      </c>
      <c r="G145" s="14">
        <f t="shared" si="72"/>
        <v>44.759978409603498</v>
      </c>
      <c r="H145" s="14">
        <f t="shared" si="72"/>
        <v>0.99590557908401012</v>
      </c>
      <c r="I145" s="14">
        <f t="shared" si="72"/>
        <v>16.445318224507808</v>
      </c>
      <c r="J145" s="14">
        <f t="shared" si="72"/>
        <v>46.453532386813187</v>
      </c>
      <c r="K145" s="14">
        <f t="shared" si="72"/>
        <v>50.546380078405107</v>
      </c>
      <c r="L145" s="14">
        <f t="shared" si="72"/>
        <v>18.556170745663252</v>
      </c>
      <c r="M145" s="14">
        <f t="shared" si="72"/>
        <v>12.320977792866357</v>
      </c>
      <c r="N145" s="14">
        <f t="shared" si="72"/>
        <v>29.533706627347545</v>
      </c>
    </row>
    <row r="146" spans="1:14">
      <c r="A146" s="4" t="str">
        <f>+VLOOKUP(A117,Listas!$B$6:$C$29,2,FALSE)</f>
        <v>Napo</v>
      </c>
      <c r="B146" s="14">
        <f t="shared" ref="B146:N146" si="73">+B117</f>
        <v>33.860137384586366</v>
      </c>
      <c r="C146" s="14">
        <f t="shared" si="73"/>
        <v>15.298410083637878</v>
      </c>
      <c r="D146" s="14">
        <f t="shared" si="73"/>
        <v>46.328498411071408</v>
      </c>
      <c r="E146" s="14">
        <f t="shared" si="73"/>
        <v>8.8619893064024389</v>
      </c>
      <c r="F146" s="14">
        <f t="shared" si="73"/>
        <v>42.494807102339834</v>
      </c>
      <c r="G146" s="14">
        <f t="shared" si="73"/>
        <v>45.092046531236313</v>
      </c>
      <c r="H146" s="14">
        <f t="shared" si="73"/>
        <v>3.8301203656502691</v>
      </c>
      <c r="I146" s="14">
        <f t="shared" si="73"/>
        <v>12.946020471393387</v>
      </c>
      <c r="J146" s="14">
        <f t="shared" si="73"/>
        <v>48.978773587953803</v>
      </c>
      <c r="K146" s="14">
        <f t="shared" si="73"/>
        <v>28.925593958837499</v>
      </c>
      <c r="L146" s="14">
        <f t="shared" si="73"/>
        <v>38.461139620731529</v>
      </c>
      <c r="M146" s="14">
        <f t="shared" si="73"/>
        <v>27.560086466229233</v>
      </c>
      <c r="N146" s="14">
        <f t="shared" si="73"/>
        <v>26.937712908191553</v>
      </c>
    </row>
    <row r="147" spans="1:14">
      <c r="A147" s="4" t="str">
        <f>+VLOOKUP(A118,Listas!$B$6:$C$29,2,FALSE)</f>
        <v>Francisco de Orellana</v>
      </c>
      <c r="B147" s="14">
        <f t="shared" ref="B147:N147" si="74">+B118</f>
        <v>40.223611462571299</v>
      </c>
      <c r="C147" s="14">
        <f t="shared" si="74"/>
        <v>55.142956952798293</v>
      </c>
      <c r="D147" s="14">
        <f t="shared" si="74"/>
        <v>56.90917388057315</v>
      </c>
      <c r="E147" s="14">
        <f t="shared" si="74"/>
        <v>28.96793209774501</v>
      </c>
      <c r="F147" s="14">
        <f t="shared" si="74"/>
        <v>54.664802899120524</v>
      </c>
      <c r="G147" s="14">
        <f t="shared" si="74"/>
        <v>32.96747888318167</v>
      </c>
      <c r="H147" s="14">
        <f t="shared" si="74"/>
        <v>0.43359124897529111</v>
      </c>
      <c r="I147" s="14">
        <f t="shared" si="74"/>
        <v>20.116634877435551</v>
      </c>
      <c r="J147" s="14">
        <f t="shared" si="74"/>
        <v>48.524455421574508</v>
      </c>
      <c r="K147" s="14">
        <f t="shared" si="74"/>
        <v>43.102225250239115</v>
      </c>
      <c r="L147" s="14">
        <f t="shared" si="74"/>
        <v>27.91700068781509</v>
      </c>
      <c r="M147" s="14">
        <f t="shared" si="74"/>
        <v>11.919709125449563</v>
      </c>
      <c r="N147" s="14">
        <f t="shared" si="74"/>
        <v>34.92436491844007</v>
      </c>
    </row>
    <row r="148" spans="1:14">
      <c r="A148" s="4" t="str">
        <f>+VLOOKUP(A119,Listas!$B$6:$C$29,2,FALSE)</f>
        <v>Pastaza</v>
      </c>
      <c r="B148" s="14">
        <f t="shared" ref="B148:N148" si="75">+B119</f>
        <v>43.965655057298569</v>
      </c>
      <c r="C148" s="14">
        <f t="shared" si="75"/>
        <v>22.036400969299923</v>
      </c>
      <c r="D148" s="14">
        <f t="shared" si="75"/>
        <v>66.291825928653367</v>
      </c>
      <c r="E148" s="14">
        <f t="shared" si="75"/>
        <v>15.065458459918075</v>
      </c>
      <c r="F148" s="14">
        <f t="shared" si="75"/>
        <v>38.246963807877812</v>
      </c>
      <c r="G148" s="14">
        <f t="shared" si="75"/>
        <v>45.182755115161413</v>
      </c>
      <c r="H148" s="14">
        <f t="shared" si="75"/>
        <v>1.3552522661752147</v>
      </c>
      <c r="I148" s="14">
        <f t="shared" si="75"/>
        <v>21.144117119493924</v>
      </c>
      <c r="J148" s="14">
        <f t="shared" si="75"/>
        <v>49.637398478331349</v>
      </c>
      <c r="K148" s="14">
        <f t="shared" si="75"/>
        <v>39.997969817535733</v>
      </c>
      <c r="L148" s="14">
        <f t="shared" si="75"/>
        <v>29.597979280859889</v>
      </c>
      <c r="M148" s="14">
        <f t="shared" si="75"/>
        <v>50.442985348992707</v>
      </c>
      <c r="N148" s="14">
        <f t="shared" si="75"/>
        <v>32.283747587922981</v>
      </c>
    </row>
    <row r="149" spans="1:14">
      <c r="A149" s="4" t="str">
        <f>+VLOOKUP(A120,Listas!$B$6:$C$29,2,FALSE)</f>
        <v>Pichincha</v>
      </c>
      <c r="B149" s="14">
        <f t="shared" ref="B149:N149" si="76">+B120</f>
        <v>76.773191058661112</v>
      </c>
      <c r="C149" s="14">
        <f t="shared" si="76"/>
        <v>79.713315598302742</v>
      </c>
      <c r="D149" s="14">
        <f t="shared" si="76"/>
        <v>52.116710647134788</v>
      </c>
      <c r="E149" s="14">
        <f t="shared" si="76"/>
        <v>81.019166845981928</v>
      </c>
      <c r="F149" s="14">
        <f t="shared" si="76"/>
        <v>63.622607841463342</v>
      </c>
      <c r="G149" s="14">
        <f t="shared" si="76"/>
        <v>81.071609676744174</v>
      </c>
      <c r="H149" s="14">
        <f t="shared" si="76"/>
        <v>82.301898322812576</v>
      </c>
      <c r="I149" s="14">
        <f t="shared" si="76"/>
        <v>78.97715440132761</v>
      </c>
      <c r="J149" s="14">
        <f t="shared" si="76"/>
        <v>42.959669561547855</v>
      </c>
      <c r="K149" s="14">
        <f t="shared" si="76"/>
        <v>34.958992205532411</v>
      </c>
      <c r="L149" s="14">
        <f t="shared" si="76"/>
        <v>87.620446096752417</v>
      </c>
      <c r="M149" s="14">
        <f t="shared" si="76"/>
        <v>68.453370687455973</v>
      </c>
      <c r="N149" s="14">
        <f t="shared" si="76"/>
        <v>72.606087506553791</v>
      </c>
    </row>
    <row r="150" spans="1:14">
      <c r="A150" s="4" t="str">
        <f>+VLOOKUP(A121,Listas!$B$6:$C$29,2,FALSE)</f>
        <v>Sucumbíos</v>
      </c>
      <c r="B150" s="14">
        <f t="shared" ref="B150:N150" si="77">+B121</f>
        <v>14.477820421511758</v>
      </c>
      <c r="C150" s="14">
        <f t="shared" si="77"/>
        <v>31.336607626209496</v>
      </c>
      <c r="D150" s="14">
        <f t="shared" si="77"/>
        <v>40.498723199875855</v>
      </c>
      <c r="E150" s="14">
        <f t="shared" si="77"/>
        <v>30.228009447273173</v>
      </c>
      <c r="F150" s="14">
        <f t="shared" si="77"/>
        <v>31.662392199583806</v>
      </c>
      <c r="G150" s="14">
        <f t="shared" si="77"/>
        <v>41.781858215559325</v>
      </c>
      <c r="H150" s="14">
        <f t="shared" si="77"/>
        <v>1.1767474699929396E-2</v>
      </c>
      <c r="I150" s="14">
        <f t="shared" si="77"/>
        <v>19.341171382457276</v>
      </c>
      <c r="J150" s="14">
        <f t="shared" si="77"/>
        <v>44.846090712618221</v>
      </c>
      <c r="K150" s="14">
        <f t="shared" si="77"/>
        <v>21.482916757676225</v>
      </c>
      <c r="L150" s="14">
        <f t="shared" si="77"/>
        <v>29.106213342620517</v>
      </c>
      <c r="M150" s="14">
        <f t="shared" si="77"/>
        <v>11.368062474127202</v>
      </c>
      <c r="N150" s="14">
        <f t="shared" si="77"/>
        <v>26.989129578455895</v>
      </c>
    </row>
    <row r="151" spans="1:14">
      <c r="A151" s="4" t="str">
        <f>+VLOOKUP(A122,Listas!$B$6:$C$29,2,FALSE)</f>
        <v>Tungurahua</v>
      </c>
      <c r="B151" s="14">
        <f t="shared" ref="B151:N151" si="78">+B122</f>
        <v>61.127621647540195</v>
      </c>
      <c r="C151" s="14">
        <f t="shared" si="78"/>
        <v>39.368689373214707</v>
      </c>
      <c r="D151" s="14">
        <f t="shared" si="78"/>
        <v>53.540284022661254</v>
      </c>
      <c r="E151" s="14">
        <f t="shared" si="78"/>
        <v>41.679039738057519</v>
      </c>
      <c r="F151" s="14">
        <f t="shared" si="78"/>
        <v>37.184862952778509</v>
      </c>
      <c r="G151" s="14">
        <f t="shared" si="78"/>
        <v>69.645563665503232</v>
      </c>
      <c r="H151" s="14">
        <f t="shared" si="78"/>
        <v>7.4656093449264995</v>
      </c>
      <c r="I151" s="14">
        <f t="shared" si="78"/>
        <v>34.237076763558335</v>
      </c>
      <c r="J151" s="14">
        <f t="shared" si="78"/>
        <v>43.541227854711167</v>
      </c>
      <c r="K151" s="14">
        <f t="shared" si="78"/>
        <v>41.828880689378742</v>
      </c>
      <c r="L151" s="14">
        <f t="shared" si="78"/>
        <v>59.122432365784626</v>
      </c>
      <c r="M151" s="14">
        <f t="shared" si="78"/>
        <v>53.424441801785072</v>
      </c>
      <c r="N151" s="14">
        <f t="shared" si="78"/>
        <v>44.329655743341036</v>
      </c>
    </row>
    <row r="152" spans="1:14">
      <c r="A152" s="4" t="str">
        <f>+VLOOKUP(A123,Listas!$B$6:$C$29,2,FALSE)</f>
        <v>Zamora Chinchipe</v>
      </c>
      <c r="B152" s="14">
        <f t="shared" ref="B152:N152" si="79">+B123</f>
        <v>43.102987031858511</v>
      </c>
      <c r="C152" s="14">
        <f t="shared" si="79"/>
        <v>8.4299880609960027</v>
      </c>
      <c r="D152" s="14">
        <f t="shared" si="79"/>
        <v>51.225804293993818</v>
      </c>
      <c r="E152" s="14">
        <f t="shared" si="79"/>
        <v>10.866953270392713</v>
      </c>
      <c r="F152" s="14">
        <f t="shared" si="79"/>
        <v>47.06226039825669</v>
      </c>
      <c r="G152" s="14">
        <f t="shared" si="79"/>
        <v>45.001998082064418</v>
      </c>
      <c r="H152" s="14">
        <f t="shared" si="79"/>
        <v>0.22699023351282843</v>
      </c>
      <c r="I152" s="14">
        <f t="shared" si="79"/>
        <v>15.69305166942673</v>
      </c>
      <c r="J152" s="14">
        <f t="shared" si="79"/>
        <v>48.396901501347713</v>
      </c>
      <c r="K152" s="14">
        <f t="shared" si="79"/>
        <v>40.504035007032002</v>
      </c>
      <c r="L152" s="14">
        <f t="shared" si="79"/>
        <v>28.602870806674787</v>
      </c>
      <c r="M152" s="14">
        <f t="shared" si="79"/>
        <v>33.433390860097987</v>
      </c>
      <c r="N152" s="14">
        <f t="shared" si="79"/>
        <v>27.051243784685575</v>
      </c>
    </row>
    <row r="153" spans="1:14">
      <c r="A153" s="4" t="str">
        <f>+VLOOKUP(A124,Listas!$B$6:$C$29,2,FALSE)</f>
        <v>Santa Elena</v>
      </c>
      <c r="B153" s="14">
        <f t="shared" ref="B153:N153" si="80">+B124</f>
        <v>42.957353435136831</v>
      </c>
      <c r="C153" s="14">
        <f t="shared" si="80"/>
        <v>36.218328108745787</v>
      </c>
      <c r="D153" s="14">
        <f t="shared" si="80"/>
        <v>46.530658609027512</v>
      </c>
      <c r="E153" s="14">
        <f t="shared" si="80"/>
        <v>22.878012383459886</v>
      </c>
      <c r="F153" s="14">
        <f t="shared" si="80"/>
        <v>44.61295658052579</v>
      </c>
      <c r="G153" s="14">
        <f t="shared" si="80"/>
        <v>60.752919907547295</v>
      </c>
      <c r="H153" s="14">
        <f t="shared" si="80"/>
        <v>8.8144343799153848</v>
      </c>
      <c r="I153" s="14">
        <f t="shared" si="80"/>
        <v>32.337785247655731</v>
      </c>
      <c r="J153" s="14">
        <f t="shared" si="80"/>
        <v>42.653623895217486</v>
      </c>
      <c r="K153" s="14">
        <f t="shared" si="80"/>
        <v>58.690096321824583</v>
      </c>
      <c r="L153" s="14">
        <f t="shared" si="80"/>
        <v>41.385632463826795</v>
      </c>
      <c r="M153" s="14">
        <f t="shared" si="80"/>
        <v>15.241720355645466</v>
      </c>
      <c r="N153" s="14">
        <f t="shared" si="80"/>
        <v>36.91048104487264</v>
      </c>
    </row>
    <row r="154" spans="1:14">
      <c r="A154" s="4" t="str">
        <f>+VLOOKUP(A125,Listas!$B$6:$C$29,2,FALSE)</f>
        <v>Santo Domingo de los Tsachilas</v>
      </c>
      <c r="B154" s="14">
        <f t="shared" ref="B154:N154" si="81">+B125</f>
        <v>34.08846794997045</v>
      </c>
      <c r="C154" s="14">
        <f t="shared" si="81"/>
        <v>22.919239862557557</v>
      </c>
      <c r="D154" s="14">
        <f t="shared" si="81"/>
        <v>72.134573202243431</v>
      </c>
      <c r="E154" s="14">
        <f t="shared" si="81"/>
        <v>30.757113894813561</v>
      </c>
      <c r="F154" s="14">
        <f t="shared" si="81"/>
        <v>29.454344105000935</v>
      </c>
      <c r="G154" s="14">
        <f t="shared" si="81"/>
        <v>69.152632190589912</v>
      </c>
      <c r="H154" s="14">
        <f t="shared" si="81"/>
        <v>13.515419114088415</v>
      </c>
      <c r="I154" s="14">
        <f t="shared" si="81"/>
        <v>30.468269993574669</v>
      </c>
      <c r="J154" s="14">
        <f t="shared" si="81"/>
        <v>51.333589789961366</v>
      </c>
      <c r="K154" s="14">
        <f t="shared" si="81"/>
        <v>12.121947610419717</v>
      </c>
      <c r="L154" s="14">
        <f t="shared" si="81"/>
        <v>47.224922189559273</v>
      </c>
      <c r="M154" s="14">
        <f t="shared" si="81"/>
        <v>28.096174138035718</v>
      </c>
      <c r="N154" s="14">
        <f t="shared" si="81"/>
        <v>37.517905217539962</v>
      </c>
    </row>
    <row r="155" spans="1:14">
      <c r="A155" s="30" t="s">
        <v>322</v>
      </c>
      <c r="B155" s="34">
        <f t="shared" ref="B155:N155" si="82">+B126</f>
        <v>44.395274118828063</v>
      </c>
      <c r="C155" s="34">
        <f t="shared" si="82"/>
        <v>30.680023799963838</v>
      </c>
      <c r="D155" s="34">
        <f t="shared" si="82"/>
        <v>55.371254128129038</v>
      </c>
      <c r="E155" s="34">
        <f t="shared" si="82"/>
        <v>28.152546631116454</v>
      </c>
      <c r="F155" s="34">
        <f t="shared" si="82"/>
        <v>39.22074442093956</v>
      </c>
      <c r="G155" s="34">
        <f t="shared" si="82"/>
        <v>58.754764143501063</v>
      </c>
      <c r="H155" s="34">
        <f t="shared" si="82"/>
        <v>14.339373437911618</v>
      </c>
      <c r="I155" s="34">
        <f t="shared" si="82"/>
        <v>28.733454514443611</v>
      </c>
      <c r="J155" s="34">
        <f t="shared" si="82"/>
        <v>44.254618156664115</v>
      </c>
      <c r="K155" s="34">
        <f t="shared" si="82"/>
        <v>34.506151797559561</v>
      </c>
      <c r="L155" s="34">
        <f t="shared" si="82"/>
        <v>44.79233976783005</v>
      </c>
      <c r="M155" s="34">
        <f t="shared" si="82"/>
        <v>38.476080188794128</v>
      </c>
      <c r="N155" s="34">
        <f t="shared" si="82"/>
        <v>37.659020266427028</v>
      </c>
    </row>
  </sheetData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workbookViewId="0">
      <selection activeCell="I40" sqref="I40"/>
    </sheetView>
  </sheetViews>
  <sheetFormatPr baseColWidth="10" defaultRowHeight="15" x14ac:dyDescent="0"/>
  <cols>
    <col min="1" max="1" width="5.1640625" customWidth="1"/>
    <col min="2" max="2" width="40.33203125" bestFit="1" customWidth="1"/>
    <col min="3" max="3" width="5.33203125" bestFit="1" customWidth="1"/>
  </cols>
  <sheetData>
    <row r="3" spans="1:3">
      <c r="A3" s="4"/>
      <c r="B3" s="31" t="s">
        <v>378</v>
      </c>
      <c r="C3" s="4"/>
    </row>
    <row r="4" spans="1:3">
      <c r="A4" s="114" t="s">
        <v>341</v>
      </c>
      <c r="B4" s="31" t="s">
        <v>377</v>
      </c>
      <c r="C4" s="4" t="s">
        <v>317</v>
      </c>
    </row>
    <row r="5" spans="1:3">
      <c r="A5" s="4">
        <v>1</v>
      </c>
      <c r="B5" s="32" t="s">
        <v>118</v>
      </c>
      <c r="C5" s="33">
        <v>6</v>
      </c>
    </row>
    <row r="6" spans="1:3">
      <c r="A6" s="4">
        <v>2</v>
      </c>
      <c r="B6" s="32" t="s">
        <v>137</v>
      </c>
      <c r="C6" s="33">
        <v>9</v>
      </c>
    </row>
    <row r="7" spans="1:3">
      <c r="A7" s="4">
        <v>3</v>
      </c>
      <c r="B7" s="32" t="s">
        <v>163</v>
      </c>
      <c r="C7" s="33">
        <v>4</v>
      </c>
    </row>
    <row r="8" spans="1:3">
      <c r="A8" s="4">
        <v>4</v>
      </c>
      <c r="B8" s="32" t="s">
        <v>174</v>
      </c>
      <c r="C8" s="33">
        <v>4</v>
      </c>
    </row>
    <row r="9" spans="1:3">
      <c r="A9" s="4">
        <v>5</v>
      </c>
      <c r="B9" s="32" t="s">
        <v>185</v>
      </c>
      <c r="C9" s="33">
        <v>5</v>
      </c>
    </row>
    <row r="10" spans="1:3">
      <c r="A10" s="4">
        <v>6</v>
      </c>
      <c r="B10" s="32" t="s">
        <v>344</v>
      </c>
      <c r="C10" s="33">
        <v>7</v>
      </c>
    </row>
    <row r="11" spans="1:3">
      <c r="A11" s="4">
        <v>7</v>
      </c>
      <c r="B11" s="32" t="s">
        <v>197</v>
      </c>
      <c r="C11" s="33">
        <v>4</v>
      </c>
    </row>
    <row r="12" spans="1:3">
      <c r="A12" s="4">
        <v>8</v>
      </c>
      <c r="B12" s="32" t="s">
        <v>223</v>
      </c>
      <c r="C12" s="33">
        <v>4</v>
      </c>
    </row>
    <row r="13" spans="1:3">
      <c r="A13" s="4">
        <v>9</v>
      </c>
      <c r="B13" s="32" t="s">
        <v>233</v>
      </c>
      <c r="C13" s="33">
        <v>9</v>
      </c>
    </row>
    <row r="14" spans="1:3">
      <c r="A14" s="4">
        <v>10</v>
      </c>
      <c r="B14" s="32" t="s">
        <v>254</v>
      </c>
      <c r="C14" s="33">
        <v>2</v>
      </c>
    </row>
    <row r="15" spans="1:3">
      <c r="A15" s="4">
        <v>11</v>
      </c>
      <c r="B15" s="32" t="s">
        <v>260</v>
      </c>
      <c r="C15" s="33">
        <v>4</v>
      </c>
    </row>
    <row r="16" spans="1:3">
      <c r="A16" s="4">
        <v>12</v>
      </c>
      <c r="B16" s="32" t="s">
        <v>269</v>
      </c>
      <c r="C16" s="33">
        <v>6</v>
      </c>
    </row>
    <row r="17" spans="1:3">
      <c r="A17" s="115"/>
      <c r="B17" s="116" t="s">
        <v>284</v>
      </c>
      <c r="C17" s="117">
        <v>64</v>
      </c>
    </row>
  </sheetData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DR68"/>
  <sheetViews>
    <sheetView zoomScale="125" zoomScaleNormal="125" zoomScalePageLayoutView="125" workbookViewId="0">
      <selection activeCell="AV5" sqref="AV5"/>
    </sheetView>
  </sheetViews>
  <sheetFormatPr baseColWidth="10" defaultRowHeight="15" x14ac:dyDescent="0"/>
  <cols>
    <col min="1" max="1" width="11" style="49" bestFit="1" customWidth="1"/>
    <col min="2" max="2" width="10.83203125" style="49"/>
    <col min="3" max="4" width="11" style="49" bestFit="1" customWidth="1"/>
    <col min="5" max="5" width="15.5" style="49" customWidth="1"/>
    <col min="6" max="6" width="10.83203125" style="49"/>
    <col min="7" max="7" width="29.5" style="49" customWidth="1"/>
    <col min="8" max="8" width="10.83203125" style="49"/>
    <col min="9" max="9" width="11" style="49" bestFit="1" customWidth="1"/>
    <col min="10" max="10" width="10.83203125" style="49"/>
    <col min="11" max="11" width="11.5" style="49" bestFit="1" customWidth="1"/>
    <col min="12" max="12" width="11" style="49" bestFit="1" customWidth="1"/>
    <col min="13" max="18" width="11.5" style="49" bestFit="1" customWidth="1"/>
    <col min="19" max="19" width="12.6640625" style="49" bestFit="1" customWidth="1"/>
    <col min="20" max="22" width="11.5" style="49" bestFit="1" customWidth="1"/>
    <col min="23" max="23" width="11" style="49" bestFit="1" customWidth="1"/>
    <col min="24" max="24" width="11.5" style="49" bestFit="1" customWidth="1"/>
    <col min="25" max="25" width="11" style="49" bestFit="1" customWidth="1"/>
    <col min="26" max="28" width="11.5" style="49" bestFit="1" customWidth="1"/>
    <col min="29" max="29" width="12.6640625" style="49" bestFit="1" customWidth="1"/>
    <col min="30" max="32" width="11.5" style="49" bestFit="1" customWidth="1"/>
    <col min="33" max="33" width="11" style="49" bestFit="1" customWidth="1"/>
    <col min="34" max="34" width="11.5" style="49" bestFit="1" customWidth="1"/>
    <col min="35" max="37" width="11" style="49" bestFit="1" customWidth="1"/>
    <col min="38" max="38" width="10.83203125" style="49"/>
    <col min="39" max="42" width="11" style="49" bestFit="1" customWidth="1"/>
    <col min="43" max="43" width="11" style="49" customWidth="1"/>
    <col min="44" max="121" width="11" style="49" bestFit="1" customWidth="1"/>
    <col min="122" max="16384" width="10.83203125" style="49"/>
  </cols>
  <sheetData>
    <row r="3" spans="1:122" ht="31" thickBot="1">
      <c r="A3" s="35" t="s">
        <v>0</v>
      </c>
      <c r="B3" s="35" t="s">
        <v>1</v>
      </c>
      <c r="C3" s="36" t="s">
        <v>2</v>
      </c>
      <c r="D3" s="35" t="s">
        <v>3</v>
      </c>
      <c r="E3" s="35" t="s">
        <v>4</v>
      </c>
      <c r="F3" s="37" t="s">
        <v>5</v>
      </c>
      <c r="G3" s="37" t="s">
        <v>6</v>
      </c>
      <c r="H3" s="35" t="s">
        <v>7</v>
      </c>
      <c r="I3" s="35" t="s">
        <v>8</v>
      </c>
      <c r="J3" s="35" t="s">
        <v>9</v>
      </c>
      <c r="K3" s="38" t="s">
        <v>10</v>
      </c>
      <c r="L3" s="38" t="s">
        <v>11</v>
      </c>
      <c r="M3" s="38" t="s">
        <v>12</v>
      </c>
      <c r="N3" s="38" t="s">
        <v>13</v>
      </c>
      <c r="O3" s="38" t="s">
        <v>14</v>
      </c>
      <c r="P3" s="38" t="s">
        <v>15</v>
      </c>
      <c r="Q3" s="38" t="s">
        <v>16</v>
      </c>
      <c r="R3" s="38" t="s">
        <v>17</v>
      </c>
      <c r="S3" s="38" t="s">
        <v>18</v>
      </c>
      <c r="T3" s="38" t="s">
        <v>19</v>
      </c>
      <c r="U3" s="38" t="s">
        <v>20</v>
      </c>
      <c r="V3" s="38" t="s">
        <v>21</v>
      </c>
      <c r="W3" s="38" t="s">
        <v>22</v>
      </c>
      <c r="X3" s="38" t="s">
        <v>23</v>
      </c>
      <c r="Y3" s="38" t="s">
        <v>24</v>
      </c>
      <c r="Z3" s="38" t="s">
        <v>25</v>
      </c>
      <c r="AA3" s="38" t="s">
        <v>26</v>
      </c>
      <c r="AB3" s="38" t="s">
        <v>27</v>
      </c>
      <c r="AC3" s="38" t="s">
        <v>28</v>
      </c>
      <c r="AD3" s="38" t="s">
        <v>29</v>
      </c>
      <c r="AE3" s="38" t="s">
        <v>30</v>
      </c>
      <c r="AF3" s="38" t="s">
        <v>31</v>
      </c>
      <c r="AG3" s="38" t="s">
        <v>32</v>
      </c>
      <c r="AH3" s="39" t="s">
        <v>33</v>
      </c>
      <c r="AI3" s="40" t="s">
        <v>34</v>
      </c>
      <c r="AJ3" s="40" t="s">
        <v>35</v>
      </c>
      <c r="AK3" s="40" t="s">
        <v>36</v>
      </c>
      <c r="AL3" s="40" t="s">
        <v>37</v>
      </c>
      <c r="AM3" s="40" t="s">
        <v>38</v>
      </c>
      <c r="AN3" s="40" t="s">
        <v>39</v>
      </c>
      <c r="AO3" s="40" t="s">
        <v>40</v>
      </c>
      <c r="AP3" s="41" t="s">
        <v>41</v>
      </c>
      <c r="AQ3" s="40" t="str">
        <f>+'Por provincia'!E6</f>
        <v>Guayas</v>
      </c>
      <c r="AR3" s="42" t="s">
        <v>42</v>
      </c>
      <c r="AS3" s="43" t="s">
        <v>43</v>
      </c>
      <c r="AT3" s="43" t="s">
        <v>44</v>
      </c>
      <c r="AU3" s="43" t="s">
        <v>45</v>
      </c>
      <c r="AV3" s="43" t="s">
        <v>46</v>
      </c>
      <c r="AW3" s="43" t="s">
        <v>47</v>
      </c>
      <c r="AX3" s="43" t="s">
        <v>48</v>
      </c>
      <c r="AY3" s="43" t="s">
        <v>49</v>
      </c>
      <c r="AZ3" s="43" t="s">
        <v>50</v>
      </c>
      <c r="BA3" s="43" t="s">
        <v>51</v>
      </c>
      <c r="BB3" s="43" t="s">
        <v>52</v>
      </c>
      <c r="BC3" s="43" t="s">
        <v>53</v>
      </c>
      <c r="BD3" s="43" t="s">
        <v>54</v>
      </c>
      <c r="BE3" s="43" t="s">
        <v>55</v>
      </c>
      <c r="BF3" s="43" t="s">
        <v>56</v>
      </c>
      <c r="BG3" s="43" t="s">
        <v>57</v>
      </c>
      <c r="BH3" s="43" t="s">
        <v>58</v>
      </c>
      <c r="BI3" s="43" t="s">
        <v>59</v>
      </c>
      <c r="BJ3" s="43" t="s">
        <v>60</v>
      </c>
      <c r="BK3" s="43" t="s">
        <v>61</v>
      </c>
      <c r="BL3" s="43" t="s">
        <v>62</v>
      </c>
      <c r="BM3" s="43" t="s">
        <v>63</v>
      </c>
      <c r="BN3" s="43" t="s">
        <v>64</v>
      </c>
      <c r="BO3" s="43" t="s">
        <v>65</v>
      </c>
      <c r="BP3" s="40" t="s">
        <v>38</v>
      </c>
      <c r="BQ3" s="40" t="s">
        <v>39</v>
      </c>
      <c r="BR3" s="40" t="s">
        <v>66</v>
      </c>
      <c r="BS3" s="40" t="s">
        <v>67</v>
      </c>
      <c r="BT3" s="44" t="s">
        <v>68</v>
      </c>
      <c r="BU3" s="45" t="s">
        <v>69</v>
      </c>
      <c r="BV3" s="45" t="s">
        <v>70</v>
      </c>
      <c r="BW3" s="45" t="s">
        <v>71</v>
      </c>
      <c r="BX3" s="45" t="s">
        <v>72</v>
      </c>
      <c r="BY3" s="45" t="s">
        <v>73</v>
      </c>
      <c r="BZ3" s="45" t="s">
        <v>74</v>
      </c>
      <c r="CA3" s="45" t="s">
        <v>75</v>
      </c>
      <c r="CB3" s="45" t="s">
        <v>76</v>
      </c>
      <c r="CC3" s="45" t="s">
        <v>77</v>
      </c>
      <c r="CD3" s="45" t="s">
        <v>78</v>
      </c>
      <c r="CE3" s="45" t="s">
        <v>79</v>
      </c>
      <c r="CF3" s="45" t="s">
        <v>80</v>
      </c>
      <c r="CG3" s="45" t="s">
        <v>81</v>
      </c>
      <c r="CH3" s="45" t="s">
        <v>82</v>
      </c>
      <c r="CI3" s="45" t="s">
        <v>83</v>
      </c>
      <c r="CJ3" s="45" t="s">
        <v>84</v>
      </c>
      <c r="CK3" s="45" t="s">
        <v>85</v>
      </c>
      <c r="CL3" s="45" t="s">
        <v>86</v>
      </c>
      <c r="CM3" s="45" t="s">
        <v>87</v>
      </c>
      <c r="CN3" s="45" t="s">
        <v>88</v>
      </c>
      <c r="CO3" s="45" t="s">
        <v>89</v>
      </c>
      <c r="CP3" s="45" t="s">
        <v>90</v>
      </c>
      <c r="CQ3" s="45" t="s">
        <v>91</v>
      </c>
      <c r="CR3" s="46" t="s">
        <v>92</v>
      </c>
      <c r="CS3" s="46" t="s">
        <v>93</v>
      </c>
      <c r="CT3" s="47" t="s">
        <v>94</v>
      </c>
      <c r="CU3" s="47" t="s">
        <v>95</v>
      </c>
      <c r="CV3" s="47" t="s">
        <v>96</v>
      </c>
      <c r="CW3" s="47" t="s">
        <v>97</v>
      </c>
      <c r="CX3" s="47" t="s">
        <v>98</v>
      </c>
      <c r="CY3" s="47" t="s">
        <v>99</v>
      </c>
      <c r="CZ3" s="47" t="s">
        <v>100</v>
      </c>
      <c r="DA3" s="47" t="s">
        <v>101</v>
      </c>
      <c r="DB3" s="47" t="s">
        <v>102</v>
      </c>
      <c r="DC3" s="47" t="s">
        <v>103</v>
      </c>
      <c r="DD3" s="47" t="s">
        <v>104</v>
      </c>
      <c r="DE3" s="47" t="s">
        <v>105</v>
      </c>
      <c r="DF3" s="47" t="s">
        <v>106</v>
      </c>
      <c r="DG3" s="47" t="s">
        <v>107</v>
      </c>
      <c r="DH3" s="47" t="s">
        <v>108</v>
      </c>
      <c r="DI3" s="47" t="s">
        <v>109</v>
      </c>
      <c r="DJ3" s="47" t="s">
        <v>110</v>
      </c>
      <c r="DK3" s="47" t="s">
        <v>111</v>
      </c>
      <c r="DL3" s="47" t="s">
        <v>112</v>
      </c>
      <c r="DM3" s="47" t="s">
        <v>113</v>
      </c>
      <c r="DN3" s="47" t="s">
        <v>114</v>
      </c>
      <c r="DO3" s="47" t="s">
        <v>115</v>
      </c>
      <c r="DP3" s="47" t="s">
        <v>116</v>
      </c>
      <c r="DQ3" s="48" t="s">
        <v>117</v>
      </c>
      <c r="DR3" s="48" t="s">
        <v>93</v>
      </c>
    </row>
    <row r="4" spans="1:122" ht="42">
      <c r="A4" s="50">
        <v>2017</v>
      </c>
      <c r="B4" s="51" t="s">
        <v>118</v>
      </c>
      <c r="C4" s="52">
        <f>+VLOOKUP(B4,'Indice por pilar'!$B$9:$C$20,2,FALSE)</f>
        <v>0.05</v>
      </c>
      <c r="D4" s="52">
        <f>+VLOOKUP(B4,[1]PONDERACIÓN!$B$22:$E$33,4,FALSE)</f>
        <v>0.2</v>
      </c>
      <c r="E4" s="53" t="s">
        <v>119</v>
      </c>
      <c r="F4" s="54" t="s">
        <v>120</v>
      </c>
      <c r="G4" s="55" t="s">
        <v>121</v>
      </c>
      <c r="H4" s="55" t="s">
        <v>122</v>
      </c>
      <c r="I4" s="55">
        <v>2016</v>
      </c>
      <c r="J4" s="55" t="s">
        <v>123</v>
      </c>
      <c r="K4" s="56">
        <v>6.9</v>
      </c>
      <c r="L4" s="56">
        <v>9.8000000000000007</v>
      </c>
      <c r="M4" s="56">
        <v>6.13</v>
      </c>
      <c r="N4" s="56">
        <v>10.43</v>
      </c>
      <c r="O4" s="56">
        <v>11.18</v>
      </c>
      <c r="P4" s="56">
        <v>10.57</v>
      </c>
      <c r="Q4" s="56">
        <v>6.54</v>
      </c>
      <c r="R4" s="56">
        <v>5.42</v>
      </c>
      <c r="S4" s="56">
        <v>7.59</v>
      </c>
      <c r="T4" s="56">
        <v>8.4600000000000009</v>
      </c>
      <c r="U4" s="56">
        <v>8.17</v>
      </c>
      <c r="V4" s="56">
        <v>6.48</v>
      </c>
      <c r="W4" s="56">
        <v>7.63</v>
      </c>
      <c r="X4" s="56">
        <v>7.42</v>
      </c>
      <c r="Y4" s="56">
        <v>10.08</v>
      </c>
      <c r="Z4" s="56">
        <v>10.36</v>
      </c>
      <c r="AA4" s="56">
        <v>6.22</v>
      </c>
      <c r="AB4" s="56">
        <v>5.83</v>
      </c>
      <c r="AC4" s="56">
        <v>8.68</v>
      </c>
      <c r="AD4" s="56">
        <v>7.94</v>
      </c>
      <c r="AE4" s="56">
        <v>6.61</v>
      </c>
      <c r="AF4" s="56">
        <v>2.25</v>
      </c>
      <c r="AG4" s="56">
        <v>7.13</v>
      </c>
      <c r="AH4" s="57">
        <v>6.48</v>
      </c>
      <c r="AI4" s="124">
        <f t="shared" ref="AI4:AI35" si="0">+AVERAGE(K4:AH4)</f>
        <v>7.679166666666668</v>
      </c>
      <c r="AJ4" s="124">
        <f t="shared" ref="AJ4:AJ35" si="1">STDEVA(K4:AH4)</f>
        <v>2.0470570958385998</v>
      </c>
      <c r="AK4" s="125">
        <f t="shared" ref="AK4:AK67" si="2">+AJ4/AI4</f>
        <v>0.26657281768923707</v>
      </c>
      <c r="AL4" s="125" t="str">
        <f>+HLOOKUP(AN4,$K4:$AH$68,65,FALSE)</f>
        <v>Zamora Chinchipe</v>
      </c>
      <c r="AM4" s="126">
        <f t="shared" ref="AM4:AM35" si="3">+MAX(K4:AH4)</f>
        <v>11.18</v>
      </c>
      <c r="AN4" s="126">
        <f t="shared" ref="AN4:AN35" si="4">+MIN(K4:AH4)</f>
        <v>2.25</v>
      </c>
      <c r="AO4" s="124">
        <f t="shared" ref="AO4:AO67" si="5">+AM4/AN4</f>
        <v>4.9688888888888885</v>
      </c>
      <c r="AP4" s="126">
        <f>+AN4</f>
        <v>2.25</v>
      </c>
      <c r="AQ4" s="127">
        <f>+HLOOKUP($AQ$3,$K$3:$AH$67,2,FALSE)</f>
        <v>8.4600000000000009</v>
      </c>
      <c r="AR4" s="128">
        <f>100-(((K4-$AN4)/($AM4-$AN4))*100)</f>
        <v>47.928331466965282</v>
      </c>
      <c r="AS4" s="128">
        <f>100-(((L4-$AN4)/($AM4-$AN4))*100)</f>
        <v>15.453527435610297</v>
      </c>
      <c r="AT4" s="128">
        <f>100-(((M4-$AN4)/($AM4-$AN4))*100)</f>
        <v>56.550951847704368</v>
      </c>
      <c r="AU4" s="128">
        <f>100-(((N4-$AN4)/($AM4-$AN4))*100)</f>
        <v>8.3986562150056017</v>
      </c>
      <c r="AV4" s="128">
        <f>100-(((O4-$AN4)/($AM4-$AN4))*100)</f>
        <v>0</v>
      </c>
      <c r="AW4" s="128">
        <f>100-(((P4-$AN4)/($AM4-$AN4))*100)</f>
        <v>6.8309070548712185</v>
      </c>
      <c r="AX4" s="128">
        <f>100-(((Q4-$AN4)/($AM4-$AN4))*100)</f>
        <v>51.959686450167972</v>
      </c>
      <c r="AY4" s="128">
        <f>100-(((R4-$AN4)/($AM4-$AN4))*100)</f>
        <v>64.501679731243001</v>
      </c>
      <c r="AZ4" s="128">
        <f>100-(((S4-$AN4)/($AM4-$AN4))*100)</f>
        <v>40.201567749160141</v>
      </c>
      <c r="BA4" s="128">
        <f>100-(((T4-$AN4)/($AM4-$AN4))*100)</f>
        <v>30.459126539753626</v>
      </c>
      <c r="BB4" s="128">
        <f>100-(((U4-$AN4)/($AM4-$AN4))*100)</f>
        <v>33.706606942889138</v>
      </c>
      <c r="BC4" s="128">
        <f>100-(((V4-$AN4)/($AM4-$AN4))*100)</f>
        <v>52.631578947368411</v>
      </c>
      <c r="BD4" s="128">
        <f>100-(((W4-$AN4)/($AM4-$AN4))*100)</f>
        <v>39.753639417693165</v>
      </c>
      <c r="BE4" s="128">
        <f>100-(((X4-$AN4)/($AM4-$AN4))*100)</f>
        <v>42.105263157894733</v>
      </c>
      <c r="BF4" s="128">
        <f>100-(((Y4-$AN4)/($AM4-$AN4))*100)</f>
        <v>12.318029115341545</v>
      </c>
      <c r="BG4" s="128">
        <f>100-(((Z4-$AN4)/($AM4-$AN4))*100)</f>
        <v>9.1825307950727932</v>
      </c>
      <c r="BH4" s="128">
        <f>100-(((AA4-$AN4)/($AM4-$AN4))*100)</f>
        <v>55.5431131019037</v>
      </c>
      <c r="BI4" s="128">
        <f>100-(((AB4-$AN4)/($AM4-$AN4))*100)</f>
        <v>59.910414333706605</v>
      </c>
      <c r="BJ4" s="128">
        <f>100-(((AC4-$AN4)/($AM4-$AN4))*100)</f>
        <v>27.995520716685334</v>
      </c>
      <c r="BK4" s="128">
        <f>100-(((AD4-$AN4)/($AM4-$AN4))*100)</f>
        <v>36.282194848824176</v>
      </c>
      <c r="BL4" s="128">
        <f>100-(((AE4-$AN4)/($AM4-$AN4))*100)</f>
        <v>51.17581187010078</v>
      </c>
      <c r="BM4" s="128">
        <f>100-(((AF4-$AN4)/($AM4-$AN4))*100)</f>
        <v>100</v>
      </c>
      <c r="BN4" s="128">
        <f>100-(((AG4-$AN4)/($AM4-$AN4))*100)</f>
        <v>45.352743561030238</v>
      </c>
      <c r="BO4" s="128">
        <f>100-(((AH4-$AN4)/($AM4-$AN4))*100)</f>
        <v>52.631578947368411</v>
      </c>
      <c r="BP4" s="129">
        <f t="shared" ref="BP4:BP67" si="6">+MAX(AR4:BO4)</f>
        <v>100</v>
      </c>
      <c r="BQ4" s="129">
        <f t="shared" ref="BQ4:BQ67" si="7">+MIN(AR4:BO4)</f>
        <v>0</v>
      </c>
      <c r="BR4" s="129">
        <f t="shared" ref="BR4:BR67" si="8">+AVERAGE(AR4:BO4)</f>
        <v>39.203060843598358</v>
      </c>
      <c r="BS4" s="129">
        <f t="shared" ref="BS4:BS67" si="9">STDEVA(AR4:BO4)</f>
        <v>22.923371733914955</v>
      </c>
      <c r="BT4" s="130">
        <f t="shared" ref="BT4:BT67" si="10">+BS4/BR4</f>
        <v>0.58473423351733556</v>
      </c>
      <c r="BU4" s="131">
        <f t="shared" ref="BU4:CJ18" si="11">+AR4*$C4*$D4</f>
        <v>0.4792833146696529</v>
      </c>
      <c r="BV4" s="131">
        <f t="shared" si="11"/>
        <v>0.15453527435610301</v>
      </c>
      <c r="BW4" s="131">
        <f t="shared" si="11"/>
        <v>0.56550951847704378</v>
      </c>
      <c r="BX4" s="131">
        <f t="shared" si="11"/>
        <v>8.3986562150056024E-2</v>
      </c>
      <c r="BY4" s="131">
        <f t="shared" si="11"/>
        <v>0</v>
      </c>
      <c r="BZ4" s="131">
        <f t="shared" si="11"/>
        <v>6.83090705487122E-2</v>
      </c>
      <c r="CA4" s="131">
        <f t="shared" si="11"/>
        <v>0.51959686450167986</v>
      </c>
      <c r="CB4" s="131">
        <f t="shared" si="11"/>
        <v>0.64501679731243011</v>
      </c>
      <c r="CC4" s="131">
        <f t="shared" si="11"/>
        <v>0.40201567749160144</v>
      </c>
      <c r="CD4" s="131">
        <f t="shared" si="11"/>
        <v>0.30459126539753628</v>
      </c>
      <c r="CE4" s="131">
        <f t="shared" si="11"/>
        <v>0.33706606942889139</v>
      </c>
      <c r="CF4" s="131">
        <f t="shared" si="11"/>
        <v>0.52631578947368418</v>
      </c>
      <c r="CG4" s="131">
        <f t="shared" si="11"/>
        <v>0.39753639417693165</v>
      </c>
      <c r="CH4" s="131">
        <f t="shared" si="11"/>
        <v>0.42105263157894735</v>
      </c>
      <c r="CI4" s="131">
        <f t="shared" si="11"/>
        <v>0.12318029115341547</v>
      </c>
      <c r="CJ4" s="131">
        <f t="shared" si="11"/>
        <v>9.182530795072795E-2</v>
      </c>
      <c r="CK4" s="131">
        <f t="shared" ref="CK4:CS32" si="12">+BH4*$C4*$D4</f>
        <v>0.55543113101903707</v>
      </c>
      <c r="CL4" s="131">
        <f t="shared" si="12"/>
        <v>0.59910414333706619</v>
      </c>
      <c r="CM4" s="131">
        <f t="shared" si="12"/>
        <v>0.27995520716685335</v>
      </c>
      <c r="CN4" s="131">
        <f t="shared" si="12"/>
        <v>0.36282194848824179</v>
      </c>
      <c r="CO4" s="131">
        <f t="shared" si="12"/>
        <v>0.51175811870100785</v>
      </c>
      <c r="CP4" s="131">
        <f t="shared" si="12"/>
        <v>1</v>
      </c>
      <c r="CQ4" s="131">
        <f t="shared" si="12"/>
        <v>0.4535274356103024</v>
      </c>
      <c r="CR4" s="131">
        <f t="shared" si="12"/>
        <v>0.52631578947368418</v>
      </c>
      <c r="CS4" s="131">
        <f t="shared" si="12"/>
        <v>1</v>
      </c>
      <c r="CT4" s="132">
        <f>+AR4*$D4</f>
        <v>9.5856662933930572</v>
      </c>
      <c r="CU4" s="132">
        <f t="shared" ref="CU4:DJ18" si="13">+AS4*$D4</f>
        <v>3.0907054871220598</v>
      </c>
      <c r="CV4" s="132">
        <f t="shared" si="13"/>
        <v>11.310190369540875</v>
      </c>
      <c r="CW4" s="132">
        <f t="shared" si="13"/>
        <v>1.6797312430011204</v>
      </c>
      <c r="CX4" s="132">
        <f t="shared" si="13"/>
        <v>0</v>
      </c>
      <c r="CY4" s="132">
        <f t="shared" si="13"/>
        <v>1.3661814109742438</v>
      </c>
      <c r="CZ4" s="132">
        <f t="shared" si="13"/>
        <v>10.391937290033596</v>
      </c>
      <c r="DA4" s="132">
        <f t="shared" si="13"/>
        <v>12.900335946248601</v>
      </c>
      <c r="DB4" s="132">
        <f t="shared" si="13"/>
        <v>8.0403135498320282</v>
      </c>
      <c r="DC4" s="132">
        <f t="shared" si="13"/>
        <v>6.0918253079507254</v>
      </c>
      <c r="DD4" s="132">
        <f t="shared" si="13"/>
        <v>6.7413213885778278</v>
      </c>
      <c r="DE4" s="132">
        <f t="shared" si="13"/>
        <v>10.526315789473683</v>
      </c>
      <c r="DF4" s="132">
        <f t="shared" si="13"/>
        <v>7.950727883538633</v>
      </c>
      <c r="DG4" s="132">
        <f t="shared" si="13"/>
        <v>8.4210526315789469</v>
      </c>
      <c r="DH4" s="132">
        <f t="shared" si="13"/>
        <v>2.4636058230683093</v>
      </c>
      <c r="DI4" s="132">
        <f t="shared" si="13"/>
        <v>1.8365061590145588</v>
      </c>
      <c r="DJ4" s="132">
        <f t="shared" si="13"/>
        <v>11.108622620380741</v>
      </c>
      <c r="DK4" s="132">
        <f t="shared" ref="DK4:DQ18" si="14">+BI4*$D4</f>
        <v>11.982082866741322</v>
      </c>
      <c r="DL4" s="132">
        <f t="shared" si="14"/>
        <v>5.5991041433370672</v>
      </c>
      <c r="DM4" s="132">
        <f t="shared" si="14"/>
        <v>7.2564389697648357</v>
      </c>
      <c r="DN4" s="132">
        <f t="shared" si="14"/>
        <v>10.235162374020156</v>
      </c>
      <c r="DO4" s="132">
        <f t="shared" si="14"/>
        <v>20</v>
      </c>
      <c r="DP4" s="132">
        <f t="shared" si="14"/>
        <v>9.0705487122060475</v>
      </c>
      <c r="DQ4" s="132">
        <f t="shared" si="14"/>
        <v>10.526315789473683</v>
      </c>
      <c r="DR4" s="58"/>
    </row>
    <row r="5" spans="1:122" ht="85" thickBot="1">
      <c r="A5" s="50">
        <v>2017</v>
      </c>
      <c r="B5" s="51" t="s">
        <v>118</v>
      </c>
      <c r="C5" s="52">
        <f>+VLOOKUP(B5,'Indice por pilar'!$B$9:$C$20,2,FALSE)</f>
        <v>0.05</v>
      </c>
      <c r="D5" s="52">
        <f>+VLOOKUP(B5,[1]PONDERACIÓN!$B$22:$E$33,4,FALSE)</f>
        <v>0.2</v>
      </c>
      <c r="E5" s="53" t="s">
        <v>124</v>
      </c>
      <c r="F5" s="59" t="s">
        <v>125</v>
      </c>
      <c r="G5" s="60" t="s">
        <v>126</v>
      </c>
      <c r="H5" s="60" t="s">
        <v>127</v>
      </c>
      <c r="I5" s="61">
        <v>2014</v>
      </c>
      <c r="J5" s="59" t="s">
        <v>128</v>
      </c>
      <c r="K5" s="62">
        <v>9.5</v>
      </c>
      <c r="L5" s="62">
        <v>8.3000000000000007</v>
      </c>
      <c r="M5" s="62">
        <v>8.4</v>
      </c>
      <c r="N5" s="62">
        <v>8.4</v>
      </c>
      <c r="O5" s="62">
        <v>7.2</v>
      </c>
      <c r="P5" s="62">
        <v>7.9</v>
      </c>
      <c r="Q5" s="62">
        <v>9.9</v>
      </c>
      <c r="R5" s="62">
        <v>9.1</v>
      </c>
      <c r="S5" s="62">
        <v>12</v>
      </c>
      <c r="T5" s="62">
        <v>10.3</v>
      </c>
      <c r="U5" s="62">
        <v>8.9</v>
      </c>
      <c r="V5" s="62">
        <v>9.8000000000000007</v>
      </c>
      <c r="W5" s="62">
        <v>8.6</v>
      </c>
      <c r="X5" s="62">
        <v>8.6999999999999993</v>
      </c>
      <c r="Y5" s="62">
        <v>8.8000000000000007</v>
      </c>
      <c r="Z5" s="62">
        <v>9.6999999999999993</v>
      </c>
      <c r="AA5" s="62">
        <v>9</v>
      </c>
      <c r="AB5" s="62">
        <v>10</v>
      </c>
      <c r="AC5" s="62">
        <v>11.5</v>
      </c>
      <c r="AD5" s="62">
        <v>8.6</v>
      </c>
      <c r="AE5" s="62">
        <v>9.5</v>
      </c>
      <c r="AF5" s="62">
        <v>9</v>
      </c>
      <c r="AG5" s="62">
        <v>9</v>
      </c>
      <c r="AH5" s="63">
        <v>9.1999999999999993</v>
      </c>
      <c r="AI5" s="124">
        <f t="shared" si="0"/>
        <v>9.2208333333333332</v>
      </c>
      <c r="AJ5" s="124">
        <f t="shared" si="1"/>
        <v>1.0504571123694471</v>
      </c>
      <c r="AK5" s="125">
        <f t="shared" si="2"/>
        <v>0.11392214503780718</v>
      </c>
      <c r="AL5" s="125" t="str">
        <f>+HLOOKUP(AN5,$K5:$AH$68,64,FALSE)</f>
        <v>Chimborazo</v>
      </c>
      <c r="AM5" s="133">
        <f t="shared" si="3"/>
        <v>12</v>
      </c>
      <c r="AN5" s="133">
        <f t="shared" si="4"/>
        <v>7.2</v>
      </c>
      <c r="AO5" s="124">
        <f t="shared" si="5"/>
        <v>1.6666666666666665</v>
      </c>
      <c r="AP5" s="133">
        <f>+AM5</f>
        <v>12</v>
      </c>
      <c r="AQ5" s="127">
        <f>+HLOOKUP($AQ$3,$K$3:$AH$67,3,FALSE)</f>
        <v>10.3</v>
      </c>
      <c r="AR5" s="134">
        <f>(((K5-$AN5)/($AM5-$AN5))*100)</f>
        <v>47.916666666666664</v>
      </c>
      <c r="AS5" s="134">
        <f>(((L5-$AN5)/($AM5-$AN5))*100)</f>
        <v>22.916666666666679</v>
      </c>
      <c r="AT5" s="134">
        <f>(((M5-$AN5)/($AM5-$AN5))*100)</f>
        <v>25.000000000000007</v>
      </c>
      <c r="AU5" s="134">
        <f>(((N5-$AN5)/($AM5-$AN5))*100)</f>
        <v>25.000000000000007</v>
      </c>
      <c r="AV5" s="134">
        <f>(((O5-$AN5)/($AM5-$AN5))*100)</f>
        <v>0</v>
      </c>
      <c r="AW5" s="134">
        <f>(((P5-$AN5)/($AM5-$AN5))*100)</f>
        <v>14.583333333333337</v>
      </c>
      <c r="AX5" s="134">
        <f>(((Q5-$AN5)/($AM5-$AN5))*100)</f>
        <v>56.250000000000014</v>
      </c>
      <c r="AY5" s="134">
        <f>(((R5-$AN5)/($AM5-$AN5))*100)</f>
        <v>39.583333333333329</v>
      </c>
      <c r="AZ5" s="134">
        <f>(((S5-$AN5)/($AM5-$AN5))*100)</f>
        <v>100</v>
      </c>
      <c r="BA5" s="134">
        <f>(((T5-$AN5)/($AM5-$AN5))*100)</f>
        <v>64.583333333333343</v>
      </c>
      <c r="BB5" s="134">
        <f>(((U5-$AN5)/($AM5-$AN5))*100)</f>
        <v>35.416666666666671</v>
      </c>
      <c r="BC5" s="134">
        <f>(((V5-$AN5)/($AM5-$AN5))*100)</f>
        <v>54.166666666666686</v>
      </c>
      <c r="BD5" s="134">
        <f>(((W5-$AN5)/($AM5-$AN5))*100)</f>
        <v>29.166666666666657</v>
      </c>
      <c r="BE5" s="134">
        <f>(((X5-$AN5)/($AM5-$AN5))*100)</f>
        <v>31.249999999999982</v>
      </c>
      <c r="BF5" s="134">
        <f>(((Y5-$AN5)/($AM5-$AN5))*100)</f>
        <v>33.33333333333335</v>
      </c>
      <c r="BG5" s="134">
        <f>(((Z5-$AN5)/($AM5-$AN5))*100)</f>
        <v>52.083333333333314</v>
      </c>
      <c r="BH5" s="134">
        <f>(((AA5-$AN5)/($AM5-$AN5))*100)</f>
        <v>37.5</v>
      </c>
      <c r="BI5" s="134">
        <f>(((AB5-$AN5)/($AM5-$AN5))*100)</f>
        <v>58.333333333333336</v>
      </c>
      <c r="BJ5" s="134">
        <f>(((AC5-$AN5)/($AM5-$AN5))*100)</f>
        <v>89.583333333333343</v>
      </c>
      <c r="BK5" s="134">
        <f>(((AD5-$AN5)/($AM5-$AN5))*100)</f>
        <v>29.166666666666657</v>
      </c>
      <c r="BL5" s="134">
        <f>(((AE5-$AN5)/($AM5-$AN5))*100)</f>
        <v>47.916666666666664</v>
      </c>
      <c r="BM5" s="134">
        <f>(((AF5-$AN5)/($AM5-$AN5))*100)</f>
        <v>37.5</v>
      </c>
      <c r="BN5" s="134">
        <f>(((AG5-$AN5)/($AM5-$AN5))*100)</f>
        <v>37.5</v>
      </c>
      <c r="BO5" s="134">
        <f>(((AH5-$AN5)/($AM5-$AN5))*100)</f>
        <v>41.66666666666665</v>
      </c>
      <c r="BP5" s="129">
        <f t="shared" si="6"/>
        <v>100</v>
      </c>
      <c r="BQ5" s="129">
        <f t="shared" si="7"/>
        <v>0</v>
      </c>
      <c r="BR5" s="129">
        <f t="shared" si="8"/>
        <v>42.100694444444443</v>
      </c>
      <c r="BS5" s="129">
        <f t="shared" si="9"/>
        <v>21.884523174363288</v>
      </c>
      <c r="BT5" s="130">
        <f t="shared" si="10"/>
        <v>0.51981382880137128</v>
      </c>
      <c r="BU5" s="131">
        <f t="shared" si="11"/>
        <v>0.47916666666666674</v>
      </c>
      <c r="BV5" s="131">
        <f t="shared" si="11"/>
        <v>0.2291666666666668</v>
      </c>
      <c r="BW5" s="131">
        <f t="shared" si="11"/>
        <v>0.25000000000000011</v>
      </c>
      <c r="BX5" s="131">
        <f t="shared" si="11"/>
        <v>0.25000000000000011</v>
      </c>
      <c r="BY5" s="131">
        <f t="shared" si="11"/>
        <v>0</v>
      </c>
      <c r="BZ5" s="131">
        <f t="shared" si="11"/>
        <v>0.1458333333333334</v>
      </c>
      <c r="CA5" s="131">
        <f t="shared" si="11"/>
        <v>0.56250000000000022</v>
      </c>
      <c r="CB5" s="131">
        <f t="shared" si="11"/>
        <v>0.39583333333333331</v>
      </c>
      <c r="CC5" s="131">
        <f t="shared" si="11"/>
        <v>1</v>
      </c>
      <c r="CD5" s="131">
        <f t="shared" si="11"/>
        <v>0.64583333333333348</v>
      </c>
      <c r="CE5" s="131">
        <f t="shared" si="11"/>
        <v>0.35416666666666674</v>
      </c>
      <c r="CF5" s="131">
        <f t="shared" si="11"/>
        <v>0.54166666666666685</v>
      </c>
      <c r="CG5" s="131">
        <f t="shared" si="11"/>
        <v>0.29166666666666663</v>
      </c>
      <c r="CH5" s="131">
        <f t="shared" si="11"/>
        <v>0.31249999999999983</v>
      </c>
      <c r="CI5" s="131">
        <f t="shared" si="11"/>
        <v>0.33333333333333354</v>
      </c>
      <c r="CJ5" s="131">
        <f t="shared" si="11"/>
        <v>0.52083333333333326</v>
      </c>
      <c r="CK5" s="131">
        <f t="shared" si="12"/>
        <v>0.375</v>
      </c>
      <c r="CL5" s="131">
        <f t="shared" si="12"/>
        <v>0.58333333333333337</v>
      </c>
      <c r="CM5" s="131">
        <f t="shared" si="12"/>
        <v>0.89583333333333348</v>
      </c>
      <c r="CN5" s="131">
        <f t="shared" si="12"/>
        <v>0.29166666666666663</v>
      </c>
      <c r="CO5" s="131">
        <f t="shared" si="12"/>
        <v>0.47916666666666674</v>
      </c>
      <c r="CP5" s="131">
        <f t="shared" si="12"/>
        <v>0.375</v>
      </c>
      <c r="CQ5" s="131">
        <f t="shared" si="12"/>
        <v>0.375</v>
      </c>
      <c r="CR5" s="131">
        <f t="shared" si="12"/>
        <v>0.41666666666666652</v>
      </c>
      <c r="CS5" s="131">
        <f t="shared" si="12"/>
        <v>1</v>
      </c>
      <c r="CT5" s="132">
        <f>+AR5*$D5</f>
        <v>9.5833333333333339</v>
      </c>
      <c r="CU5" s="132">
        <f t="shared" si="13"/>
        <v>4.5833333333333357</v>
      </c>
      <c r="CV5" s="132">
        <f t="shared" si="13"/>
        <v>5.0000000000000018</v>
      </c>
      <c r="CW5" s="132">
        <f t="shared" si="13"/>
        <v>5.0000000000000018</v>
      </c>
      <c r="CX5" s="132">
        <f t="shared" si="13"/>
        <v>0</v>
      </c>
      <c r="CY5" s="132">
        <f t="shared" si="13"/>
        <v>2.9166666666666679</v>
      </c>
      <c r="CZ5" s="132">
        <f t="shared" si="13"/>
        <v>11.250000000000004</v>
      </c>
      <c r="DA5" s="132">
        <f t="shared" si="13"/>
        <v>7.9166666666666661</v>
      </c>
      <c r="DB5" s="132">
        <f t="shared" si="13"/>
        <v>20</v>
      </c>
      <c r="DC5" s="132">
        <f t="shared" si="13"/>
        <v>12.91666666666667</v>
      </c>
      <c r="DD5" s="132">
        <f t="shared" si="13"/>
        <v>7.0833333333333348</v>
      </c>
      <c r="DE5" s="132">
        <f t="shared" si="13"/>
        <v>10.833333333333337</v>
      </c>
      <c r="DF5" s="132">
        <f t="shared" si="13"/>
        <v>5.8333333333333321</v>
      </c>
      <c r="DG5" s="132">
        <f t="shared" si="13"/>
        <v>6.2499999999999964</v>
      </c>
      <c r="DH5" s="132">
        <f t="shared" si="13"/>
        <v>6.6666666666666705</v>
      </c>
      <c r="DI5" s="132">
        <f t="shared" si="13"/>
        <v>10.416666666666664</v>
      </c>
      <c r="DJ5" s="132">
        <f t="shared" si="13"/>
        <v>7.5</v>
      </c>
      <c r="DK5" s="132">
        <f t="shared" si="14"/>
        <v>11.666666666666668</v>
      </c>
      <c r="DL5" s="132">
        <f t="shared" si="14"/>
        <v>17.916666666666668</v>
      </c>
      <c r="DM5" s="132">
        <f t="shared" si="14"/>
        <v>5.8333333333333321</v>
      </c>
      <c r="DN5" s="132">
        <f t="shared" si="14"/>
        <v>9.5833333333333339</v>
      </c>
      <c r="DO5" s="132">
        <f t="shared" si="14"/>
        <v>7.5</v>
      </c>
      <c r="DP5" s="132">
        <f t="shared" si="14"/>
        <v>7.5</v>
      </c>
      <c r="DQ5" s="132">
        <f t="shared" si="14"/>
        <v>8.3333333333333304</v>
      </c>
      <c r="DR5" s="58"/>
    </row>
    <row r="6" spans="1:122" ht="56">
      <c r="A6" s="50">
        <v>2017</v>
      </c>
      <c r="B6" s="51" t="s">
        <v>118</v>
      </c>
      <c r="C6" s="52">
        <f>+VLOOKUP(B6,'Indice por pilar'!$B$9:$C$20,2,FALSE)</f>
        <v>0.05</v>
      </c>
      <c r="D6" s="52">
        <f>+VLOOKUP(B6,[1]PONDERACIÓN!$B$22:$E$33,4,FALSE)</f>
        <v>0.2</v>
      </c>
      <c r="E6" s="53" t="s">
        <v>119</v>
      </c>
      <c r="F6" s="59" t="s">
        <v>129</v>
      </c>
      <c r="G6" s="60" t="s">
        <v>130</v>
      </c>
      <c r="H6" s="60" t="s">
        <v>122</v>
      </c>
      <c r="I6" s="60">
        <v>2014</v>
      </c>
      <c r="J6" s="60" t="s">
        <v>131</v>
      </c>
      <c r="K6" s="64">
        <v>1.2999999999999999E-2</v>
      </c>
      <c r="L6" s="64">
        <v>3.0000000000000001E-3</v>
      </c>
      <c r="M6" s="64">
        <v>2.1999999999999999E-2</v>
      </c>
      <c r="N6" s="64">
        <v>3.0000000000000001E-3</v>
      </c>
      <c r="O6" s="64">
        <v>0.02</v>
      </c>
      <c r="P6" s="64">
        <v>1.4999999999999999E-2</v>
      </c>
      <c r="Q6" s="64">
        <v>1.6E-2</v>
      </c>
      <c r="R6" s="64">
        <v>2.5999999999999999E-2</v>
      </c>
      <c r="S6" s="64">
        <v>1.0999999999999999E-2</v>
      </c>
      <c r="T6" s="64">
        <v>2.8000000000000001E-2</v>
      </c>
      <c r="U6" s="64">
        <v>1.7000000000000001E-2</v>
      </c>
      <c r="V6" s="64">
        <v>1.2999999999999999E-2</v>
      </c>
      <c r="W6" s="64">
        <v>2.5000000000000001E-2</v>
      </c>
      <c r="X6" s="64">
        <v>1.7000000000000001E-2</v>
      </c>
      <c r="Y6" s="64">
        <v>2.8000000000000001E-2</v>
      </c>
      <c r="Z6" s="64">
        <v>1.2999999999999999E-2</v>
      </c>
      <c r="AA6" s="64">
        <v>3.2000000000000001E-2</v>
      </c>
      <c r="AB6" s="64">
        <v>2.3E-2</v>
      </c>
      <c r="AC6" s="64">
        <v>4.0000000000000001E-3</v>
      </c>
      <c r="AD6" s="64">
        <v>0.05</v>
      </c>
      <c r="AE6" s="64">
        <v>1.2E-2</v>
      </c>
      <c r="AF6" s="64">
        <v>1.7999999999999999E-2</v>
      </c>
      <c r="AG6" s="64">
        <v>2.3E-2</v>
      </c>
      <c r="AH6" s="65">
        <v>2.7E-2</v>
      </c>
      <c r="AI6" s="124">
        <f t="shared" si="0"/>
        <v>1.9125000000000007E-2</v>
      </c>
      <c r="AJ6" s="124">
        <f t="shared" si="1"/>
        <v>1.037267522408504E-2</v>
      </c>
      <c r="AK6" s="125">
        <f t="shared" si="2"/>
        <v>0.54236210322013267</v>
      </c>
      <c r="AL6" s="125" t="str">
        <f>+HLOOKUP(AN6,$K6:$AH$68,63,FALSE)</f>
        <v>Bolívar</v>
      </c>
      <c r="AM6" s="135">
        <f t="shared" si="3"/>
        <v>0.05</v>
      </c>
      <c r="AN6" s="135">
        <f t="shared" si="4"/>
        <v>3.0000000000000001E-3</v>
      </c>
      <c r="AO6" s="124">
        <f t="shared" si="5"/>
        <v>16.666666666666668</v>
      </c>
      <c r="AP6" s="135">
        <f>+AN6</f>
        <v>3.0000000000000001E-3</v>
      </c>
      <c r="AQ6" s="136">
        <f>+HLOOKUP($AQ$3,$K$3:$AH$67,4,FALSE)</f>
        <v>2.8000000000000001E-2</v>
      </c>
      <c r="AR6" s="128">
        <f>100-(((K6-$AN6)/($AM6-$AN6))*100)</f>
        <v>78.723404255319153</v>
      </c>
      <c r="AS6" s="128">
        <f>100-(((L6-$AN6)/($AM6-$AN6))*100)</f>
        <v>100</v>
      </c>
      <c r="AT6" s="128">
        <f>100-(((M6-$AN6)/($AM6-$AN6))*100)</f>
        <v>59.574468085106389</v>
      </c>
      <c r="AU6" s="128">
        <f>100-(((N6-$AN6)/($AM6-$AN6))*100)</f>
        <v>100</v>
      </c>
      <c r="AV6" s="128">
        <f>100-(((O6-$AN6)/($AM6-$AN6))*100)</f>
        <v>63.829787234042549</v>
      </c>
      <c r="AW6" s="137">
        <f>100-(((P6-$AN6)/($AM6-$AN6))*100)</f>
        <v>74.468085106382972</v>
      </c>
      <c r="AX6" s="128">
        <f>100-(((Q6-$AN6)/($AM6-$AN6))*100)</f>
        <v>72.340425531914889</v>
      </c>
      <c r="AY6" s="128">
        <f>100-(((R6-$AN6)/($AM6-$AN6))*100)</f>
        <v>51.063829787234042</v>
      </c>
      <c r="AZ6" s="128">
        <f>100-(((S6-$AN6)/($AM6-$AN6))*100)</f>
        <v>82.978723404255319</v>
      </c>
      <c r="BA6" s="128">
        <f>100-(((T6-$AN6)/($AM6-$AN6))*100)</f>
        <v>46.808510638297875</v>
      </c>
      <c r="BB6" s="128">
        <f>100-(((U6-$AN6)/($AM6-$AN6))*100)</f>
        <v>70.212765957446805</v>
      </c>
      <c r="BC6" s="128">
        <f>100-(((V6-$AN6)/($AM6-$AN6))*100)</f>
        <v>78.723404255319153</v>
      </c>
      <c r="BD6" s="128">
        <f>100-(((W6-$AN6)/($AM6-$AN6))*100)</f>
        <v>53.191489361702118</v>
      </c>
      <c r="BE6" s="128">
        <f>100-(((X6-$AN6)/($AM6-$AN6))*100)</f>
        <v>70.212765957446805</v>
      </c>
      <c r="BF6" s="128">
        <f>100-(((Y6-$AN6)/($AM6-$AN6))*100)</f>
        <v>46.808510638297875</v>
      </c>
      <c r="BG6" s="128">
        <f>100-(((Z6-$AN6)/($AM6-$AN6))*100)</f>
        <v>78.723404255319153</v>
      </c>
      <c r="BH6" s="128">
        <f>100-(((AA6-$AN6)/($AM6-$AN6))*100)</f>
        <v>38.297872340425535</v>
      </c>
      <c r="BI6" s="128">
        <f>100-(((AB6-$AN6)/($AM6-$AN6))*100)</f>
        <v>57.446808510638299</v>
      </c>
      <c r="BJ6" s="128">
        <f>100-(((AC6-$AN6)/($AM6-$AN6))*100)</f>
        <v>97.872340425531917</v>
      </c>
      <c r="BK6" s="128">
        <f>100-(((AD6-$AN6)/($AM6-$AN6))*100)</f>
        <v>0</v>
      </c>
      <c r="BL6" s="128">
        <f>100-(((AE6-$AN6)/($AM6-$AN6))*100)</f>
        <v>80.851063829787236</v>
      </c>
      <c r="BM6" s="128">
        <f>100-(((AF6-$AN6)/($AM6-$AN6))*100)</f>
        <v>68.085106382978722</v>
      </c>
      <c r="BN6" s="128">
        <f>100-(((AG6-$AN6)/($AM6-$AN6))*100)</f>
        <v>57.446808510638299</v>
      </c>
      <c r="BO6" s="128">
        <f>100-(((AH6-$AN6)/($AM6-$AN6))*100)</f>
        <v>48.936170212765958</v>
      </c>
      <c r="BP6" s="129">
        <f t="shared" si="6"/>
        <v>100</v>
      </c>
      <c r="BQ6" s="129">
        <f t="shared" si="7"/>
        <v>0</v>
      </c>
      <c r="BR6" s="129">
        <f t="shared" si="8"/>
        <v>65.691489361702125</v>
      </c>
      <c r="BS6" s="129">
        <f t="shared" si="9"/>
        <v>22.069521753372431</v>
      </c>
      <c r="BT6" s="130">
        <f t="shared" si="10"/>
        <v>0.33595709227805809</v>
      </c>
      <c r="BU6" s="131">
        <f t="shared" si="11"/>
        <v>0.78723404255319163</v>
      </c>
      <c r="BV6" s="131">
        <f t="shared" si="11"/>
        <v>1</v>
      </c>
      <c r="BW6" s="131">
        <f t="shared" si="11"/>
        <v>0.59574468085106391</v>
      </c>
      <c r="BX6" s="131">
        <f t="shared" si="11"/>
        <v>1</v>
      </c>
      <c r="BY6" s="131">
        <f t="shared" si="11"/>
        <v>0.63829787234042556</v>
      </c>
      <c r="BZ6" s="131">
        <f t="shared" si="11"/>
        <v>0.74468085106382986</v>
      </c>
      <c r="CA6" s="131">
        <f t="shared" si="11"/>
        <v>0.72340425531914898</v>
      </c>
      <c r="CB6" s="131">
        <f t="shared" si="11"/>
        <v>0.5106382978723405</v>
      </c>
      <c r="CC6" s="131">
        <f t="shared" si="11"/>
        <v>0.82978723404255339</v>
      </c>
      <c r="CD6" s="131">
        <f t="shared" si="11"/>
        <v>0.46808510638297873</v>
      </c>
      <c r="CE6" s="131">
        <f t="shared" si="11"/>
        <v>0.7021276595744681</v>
      </c>
      <c r="CF6" s="131">
        <f t="shared" si="11"/>
        <v>0.78723404255319163</v>
      </c>
      <c r="CG6" s="131">
        <f t="shared" si="11"/>
        <v>0.53191489361702116</v>
      </c>
      <c r="CH6" s="131">
        <f t="shared" si="11"/>
        <v>0.7021276595744681</v>
      </c>
      <c r="CI6" s="131">
        <f t="shared" si="11"/>
        <v>0.46808510638297873</v>
      </c>
      <c r="CJ6" s="131">
        <f t="shared" si="11"/>
        <v>0.78723404255319163</v>
      </c>
      <c r="CK6" s="131">
        <f t="shared" si="12"/>
        <v>0.38297872340425543</v>
      </c>
      <c r="CL6" s="131">
        <f t="shared" si="12"/>
        <v>0.57446808510638303</v>
      </c>
      <c r="CM6" s="131">
        <f t="shared" si="12"/>
        <v>0.97872340425531934</v>
      </c>
      <c r="CN6" s="131">
        <f t="shared" si="12"/>
        <v>0</v>
      </c>
      <c r="CO6" s="131">
        <f t="shared" si="12"/>
        <v>0.8085106382978724</v>
      </c>
      <c r="CP6" s="131">
        <f t="shared" si="12"/>
        <v>0.68085106382978733</v>
      </c>
      <c r="CQ6" s="131">
        <f t="shared" si="12"/>
        <v>0.57446808510638303</v>
      </c>
      <c r="CR6" s="131">
        <f t="shared" si="12"/>
        <v>0.48936170212765967</v>
      </c>
      <c r="CS6" s="131">
        <f t="shared" si="12"/>
        <v>1</v>
      </c>
      <c r="CT6" s="132">
        <f>+AR6*$D6</f>
        <v>15.744680851063832</v>
      </c>
      <c r="CU6" s="132">
        <f t="shared" si="13"/>
        <v>20</v>
      </c>
      <c r="CV6" s="132">
        <f t="shared" si="13"/>
        <v>11.914893617021278</v>
      </c>
      <c r="CW6" s="132">
        <f t="shared" si="13"/>
        <v>20</v>
      </c>
      <c r="CX6" s="132">
        <f t="shared" si="13"/>
        <v>12.76595744680851</v>
      </c>
      <c r="CY6" s="132">
        <f t="shared" si="13"/>
        <v>14.893617021276595</v>
      </c>
      <c r="CZ6" s="132">
        <f t="shared" si="13"/>
        <v>14.468085106382979</v>
      </c>
      <c r="DA6" s="132">
        <f t="shared" si="13"/>
        <v>10.212765957446809</v>
      </c>
      <c r="DB6" s="132">
        <f t="shared" si="13"/>
        <v>16.595744680851066</v>
      </c>
      <c r="DC6" s="132">
        <f t="shared" si="13"/>
        <v>9.3617021276595747</v>
      </c>
      <c r="DD6" s="132">
        <f t="shared" si="13"/>
        <v>14.042553191489361</v>
      </c>
      <c r="DE6" s="132">
        <f t="shared" si="13"/>
        <v>15.744680851063832</v>
      </c>
      <c r="DF6" s="132">
        <f t="shared" si="13"/>
        <v>10.638297872340424</v>
      </c>
      <c r="DG6" s="132">
        <f t="shared" si="13"/>
        <v>14.042553191489361</v>
      </c>
      <c r="DH6" s="132">
        <f t="shared" si="13"/>
        <v>9.3617021276595747</v>
      </c>
      <c r="DI6" s="132">
        <f t="shared" si="13"/>
        <v>15.744680851063832</v>
      </c>
      <c r="DJ6" s="132">
        <f t="shared" si="13"/>
        <v>7.6595744680851077</v>
      </c>
      <c r="DK6" s="132">
        <f t="shared" si="14"/>
        <v>11.48936170212766</v>
      </c>
      <c r="DL6" s="132">
        <f t="shared" si="14"/>
        <v>19.574468085106385</v>
      </c>
      <c r="DM6" s="132">
        <f t="shared" si="14"/>
        <v>0</v>
      </c>
      <c r="DN6" s="132">
        <f t="shared" si="14"/>
        <v>16.170212765957448</v>
      </c>
      <c r="DO6" s="132">
        <f t="shared" si="14"/>
        <v>13.617021276595745</v>
      </c>
      <c r="DP6" s="132">
        <f t="shared" si="14"/>
        <v>11.48936170212766</v>
      </c>
      <c r="DQ6" s="132">
        <f t="shared" si="14"/>
        <v>9.7872340425531927</v>
      </c>
      <c r="DR6" s="58"/>
    </row>
    <row r="7" spans="1:122" ht="42">
      <c r="A7" s="50">
        <v>2017</v>
      </c>
      <c r="B7" s="51" t="s">
        <v>118</v>
      </c>
      <c r="C7" s="52">
        <f>+VLOOKUP(B7,'Indice por pilar'!$B$9:$C$20,2,FALSE)</f>
        <v>0.05</v>
      </c>
      <c r="D7" s="52">
        <f>+VLOOKUP(B7,[1]PONDERACIÓN!$B$22:$E$33,4,FALSE)</f>
        <v>0.2</v>
      </c>
      <c r="E7" s="53" t="s">
        <v>124</v>
      </c>
      <c r="F7" s="59" t="s">
        <v>132</v>
      </c>
      <c r="G7" s="60" t="s">
        <v>133</v>
      </c>
      <c r="H7" s="60" t="s">
        <v>122</v>
      </c>
      <c r="I7" s="60">
        <v>2014</v>
      </c>
      <c r="J7" s="60" t="s">
        <v>131</v>
      </c>
      <c r="K7" s="64">
        <v>0.89200000000000002</v>
      </c>
      <c r="L7" s="64">
        <v>0.877</v>
      </c>
      <c r="M7" s="64">
        <v>0.86599999999999999</v>
      </c>
      <c r="N7" s="64">
        <v>0.86699999999999999</v>
      </c>
      <c r="O7" s="64">
        <v>0.91100000000000003</v>
      </c>
      <c r="P7" s="64">
        <v>0.89700000000000002</v>
      </c>
      <c r="Q7" s="64">
        <v>0.90300000000000002</v>
      </c>
      <c r="R7" s="64">
        <v>0.88800000000000001</v>
      </c>
      <c r="S7" s="64">
        <v>0.98799999999999999</v>
      </c>
      <c r="T7" s="64">
        <v>0.872</v>
      </c>
      <c r="U7" s="64">
        <v>0.93600000000000005</v>
      </c>
      <c r="V7" s="64">
        <v>0.89100000000000001</v>
      </c>
      <c r="W7" s="64">
        <v>0.85699999999999998</v>
      </c>
      <c r="X7" s="64">
        <v>0.89800000000000002</v>
      </c>
      <c r="Y7" s="64">
        <v>0.85699999999999998</v>
      </c>
      <c r="Z7" s="64">
        <v>0.91200000000000003</v>
      </c>
      <c r="AA7" s="64">
        <v>0.85899999999999999</v>
      </c>
      <c r="AB7" s="64">
        <v>0.91300000000000003</v>
      </c>
      <c r="AC7" s="64">
        <v>0.93799999999999994</v>
      </c>
      <c r="AD7" s="64">
        <v>0.878</v>
      </c>
      <c r="AE7" s="64">
        <v>0.89200000000000002</v>
      </c>
      <c r="AF7" s="64">
        <v>0.874</v>
      </c>
      <c r="AG7" s="64">
        <v>0.88</v>
      </c>
      <c r="AH7" s="65">
        <v>0.89100000000000001</v>
      </c>
      <c r="AI7" s="124">
        <f t="shared" si="0"/>
        <v>0.89320833333333327</v>
      </c>
      <c r="AJ7" s="124">
        <f t="shared" si="1"/>
        <v>3.0046310873407565E-2</v>
      </c>
      <c r="AK7" s="125">
        <f t="shared" si="2"/>
        <v>3.3638636981003944E-2</v>
      </c>
      <c r="AL7" s="125" t="str">
        <f>+HLOOKUP(AN7,$K7:$AH$68,62,FALSE)</f>
        <v>Los Ríos</v>
      </c>
      <c r="AM7" s="135">
        <f t="shared" si="3"/>
        <v>0.98799999999999999</v>
      </c>
      <c r="AN7" s="135">
        <f t="shared" si="4"/>
        <v>0.85699999999999998</v>
      </c>
      <c r="AO7" s="124">
        <f t="shared" si="5"/>
        <v>1.1528588098016337</v>
      </c>
      <c r="AP7" s="135">
        <f>+AM7</f>
        <v>0.98799999999999999</v>
      </c>
      <c r="AQ7" s="136">
        <f>+HLOOKUP($AQ$3,$K$3:$AH$67,5,FALSE)</f>
        <v>0.872</v>
      </c>
      <c r="AR7" s="134">
        <f>(((K7-$AN7)/($AM7-$AN7))*100)</f>
        <v>26.717557251908421</v>
      </c>
      <c r="AS7" s="134">
        <f>(((L7-$AN7)/($AM7-$AN7))*100)</f>
        <v>15.267175572519099</v>
      </c>
      <c r="AT7" s="134">
        <f>(((M7-$AN7)/($AM7-$AN7))*100)</f>
        <v>6.8702290076335935</v>
      </c>
      <c r="AU7" s="134">
        <f>(((N7-$AN7)/($AM7-$AN7))*100)</f>
        <v>7.6335877862595494</v>
      </c>
      <c r="AV7" s="134">
        <f>(((O7-$AN7)/($AM7-$AN7))*100)</f>
        <v>41.221374045801561</v>
      </c>
      <c r="AW7" s="134">
        <f>(((P7-$AN7)/($AM7-$AN7))*100)</f>
        <v>30.534351145038197</v>
      </c>
      <c r="AX7" s="134">
        <f>(((Q7-$AN7)/($AM7-$AN7))*100)</f>
        <v>35.114503816793921</v>
      </c>
      <c r="AY7" s="134">
        <f>(((R7-$AN7)/($AM7-$AN7))*100)</f>
        <v>23.6641221374046</v>
      </c>
      <c r="AZ7" s="134">
        <f>(((S7-$AN7)/($AM7-$AN7))*100)</f>
        <v>100</v>
      </c>
      <c r="BA7" s="134">
        <f>(((T7-$AN7)/($AM7-$AN7))*100)</f>
        <v>11.450381679389322</v>
      </c>
      <c r="BB7" s="134">
        <f>(((U7-$AN7)/($AM7-$AN7))*100)</f>
        <v>60.305343511450438</v>
      </c>
      <c r="BC7" s="134">
        <f>(((V7-$AN7)/($AM7-$AN7))*100)</f>
        <v>25.954198473282464</v>
      </c>
      <c r="BD7" s="134">
        <f>(((W7-$AN7)/($AM7-$AN7))*100)</f>
        <v>0</v>
      </c>
      <c r="BE7" s="134">
        <f>(((X7-$AN7)/($AM7-$AN7))*100)</f>
        <v>31.297709923664147</v>
      </c>
      <c r="BF7" s="134">
        <f>(((Y7-$AN7)/($AM7-$AN7))*100)</f>
        <v>0</v>
      </c>
      <c r="BG7" s="134">
        <f>(((Z7-$AN7)/($AM7-$AN7))*100)</f>
        <v>41.984732824427518</v>
      </c>
      <c r="BH7" s="134">
        <f>(((AA7-$AN7)/($AM7-$AN7))*100)</f>
        <v>1.5267175572519098</v>
      </c>
      <c r="BI7" s="134">
        <f>(((AB7-$AN7)/($AM7-$AN7))*100)</f>
        <v>42.748091603053474</v>
      </c>
      <c r="BJ7" s="134">
        <f>(((AC7-$AN7)/($AM7-$AN7))*100)</f>
        <v>61.832061068702259</v>
      </c>
      <c r="BK7" s="134">
        <f>(((AD7-$AN7)/($AM7-$AN7))*100)</f>
        <v>16.03053435114505</v>
      </c>
      <c r="BL7" s="134">
        <f>(((AE7-$AN7)/($AM7-$AN7))*100)</f>
        <v>26.717557251908421</v>
      </c>
      <c r="BM7" s="134">
        <f>(((AF7-$AN7)/($AM7-$AN7))*100)</f>
        <v>12.977099236641232</v>
      </c>
      <c r="BN7" s="134">
        <f>(((AG7-$AN7)/($AM7-$AN7))*100)</f>
        <v>17.55725190839696</v>
      </c>
      <c r="BO7" s="134">
        <f>(((AH7-$AN7)/($AM7-$AN7))*100)</f>
        <v>25.954198473282464</v>
      </c>
      <c r="BP7" s="129">
        <f t="shared" si="6"/>
        <v>100</v>
      </c>
      <c r="BQ7" s="129">
        <f t="shared" si="7"/>
        <v>0</v>
      </c>
      <c r="BR7" s="129">
        <f t="shared" si="8"/>
        <v>27.639949109414776</v>
      </c>
      <c r="BS7" s="129">
        <f t="shared" si="9"/>
        <v>22.936115170540123</v>
      </c>
      <c r="BT7" s="130">
        <f t="shared" si="10"/>
        <v>0.82981756152103681</v>
      </c>
      <c r="BU7" s="131">
        <f t="shared" si="11"/>
        <v>0.26717557251908425</v>
      </c>
      <c r="BV7" s="131">
        <f t="shared" si="11"/>
        <v>0.15267175572519101</v>
      </c>
      <c r="BW7" s="131">
        <f t="shared" si="11"/>
        <v>6.8702290076335937E-2</v>
      </c>
      <c r="BX7" s="131">
        <f t="shared" si="11"/>
        <v>7.6335877862595505E-2</v>
      </c>
      <c r="BY7" s="131">
        <f t="shared" si="11"/>
        <v>0.41221374045801568</v>
      </c>
      <c r="BZ7" s="131">
        <f t="shared" si="11"/>
        <v>0.30534351145038202</v>
      </c>
      <c r="CA7" s="131">
        <f t="shared" si="11"/>
        <v>0.35114503816793924</v>
      </c>
      <c r="CB7" s="131">
        <f t="shared" si="11"/>
        <v>0.236641221374046</v>
      </c>
      <c r="CC7" s="131">
        <f t="shared" si="11"/>
        <v>1</v>
      </c>
      <c r="CD7" s="131">
        <f t="shared" si="11"/>
        <v>0.11450381679389324</v>
      </c>
      <c r="CE7" s="131">
        <f t="shared" si="11"/>
        <v>0.60305343511450449</v>
      </c>
      <c r="CF7" s="131">
        <f t="shared" si="11"/>
        <v>0.25954198473282464</v>
      </c>
      <c r="CG7" s="131">
        <f t="shared" si="11"/>
        <v>0</v>
      </c>
      <c r="CH7" s="131">
        <f t="shared" si="11"/>
        <v>0.31297709923664152</v>
      </c>
      <c r="CI7" s="131">
        <f t="shared" si="11"/>
        <v>0</v>
      </c>
      <c r="CJ7" s="131">
        <f t="shared" si="11"/>
        <v>0.41984732824427518</v>
      </c>
      <c r="CK7" s="131">
        <f t="shared" si="12"/>
        <v>1.5267175572519099E-2</v>
      </c>
      <c r="CL7" s="131">
        <f t="shared" si="12"/>
        <v>0.42748091603053484</v>
      </c>
      <c r="CM7" s="131">
        <f t="shared" si="12"/>
        <v>0.61832061068702271</v>
      </c>
      <c r="CN7" s="131">
        <f t="shared" si="12"/>
        <v>0.16030534351145054</v>
      </c>
      <c r="CO7" s="131">
        <f t="shared" si="12"/>
        <v>0.26717557251908425</v>
      </c>
      <c r="CP7" s="131">
        <f t="shared" si="12"/>
        <v>0.12977099236641232</v>
      </c>
      <c r="CQ7" s="131">
        <f t="shared" si="12"/>
        <v>0.17557251908396962</v>
      </c>
      <c r="CR7" s="131">
        <f t="shared" si="12"/>
        <v>0.25954198473282464</v>
      </c>
      <c r="CS7" s="131">
        <f t="shared" si="12"/>
        <v>1</v>
      </c>
      <c r="CT7" s="132">
        <f t="shared" ref="CT7:DI34" si="15">+AR7*$D7</f>
        <v>5.3435114503816843</v>
      </c>
      <c r="CU7" s="132">
        <f t="shared" si="13"/>
        <v>3.0534351145038201</v>
      </c>
      <c r="CV7" s="132">
        <f t="shared" si="13"/>
        <v>1.3740458015267187</v>
      </c>
      <c r="CW7" s="132">
        <f t="shared" si="13"/>
        <v>1.5267175572519101</v>
      </c>
      <c r="CX7" s="132">
        <f t="shared" si="13"/>
        <v>8.2442748091603129</v>
      </c>
      <c r="CY7" s="132">
        <f t="shared" si="13"/>
        <v>6.1068702290076402</v>
      </c>
      <c r="CZ7" s="132">
        <f t="shared" si="13"/>
        <v>7.0229007633587841</v>
      </c>
      <c r="DA7" s="132">
        <f t="shared" si="13"/>
        <v>4.7328244274809199</v>
      </c>
      <c r="DB7" s="132">
        <f t="shared" si="13"/>
        <v>20</v>
      </c>
      <c r="DC7" s="132">
        <f t="shared" si="13"/>
        <v>2.2900763358778646</v>
      </c>
      <c r="DD7" s="132">
        <f t="shared" si="13"/>
        <v>12.061068702290088</v>
      </c>
      <c r="DE7" s="132">
        <f t="shared" si="13"/>
        <v>5.1908396946564928</v>
      </c>
      <c r="DF7" s="132">
        <f t="shared" si="13"/>
        <v>0</v>
      </c>
      <c r="DG7" s="132">
        <f t="shared" si="13"/>
        <v>6.25954198473283</v>
      </c>
      <c r="DH7" s="132">
        <f t="shared" si="13"/>
        <v>0</v>
      </c>
      <c r="DI7" s="132">
        <f t="shared" si="13"/>
        <v>8.3969465648855035</v>
      </c>
      <c r="DJ7" s="132">
        <f t="shared" si="13"/>
        <v>0.30534351145038197</v>
      </c>
      <c r="DK7" s="132">
        <f t="shared" si="14"/>
        <v>8.5496183206106959</v>
      </c>
      <c r="DL7" s="132">
        <f t="shared" si="14"/>
        <v>12.366412213740453</v>
      </c>
      <c r="DM7" s="132">
        <f t="shared" si="14"/>
        <v>3.2061068702290103</v>
      </c>
      <c r="DN7" s="132">
        <f t="shared" si="14"/>
        <v>5.3435114503816843</v>
      </c>
      <c r="DO7" s="132">
        <f t="shared" si="14"/>
        <v>2.5954198473282464</v>
      </c>
      <c r="DP7" s="132">
        <f t="shared" si="14"/>
        <v>3.5114503816793921</v>
      </c>
      <c r="DQ7" s="132">
        <f t="shared" si="14"/>
        <v>5.1908396946564928</v>
      </c>
      <c r="DR7" s="58"/>
    </row>
    <row r="8" spans="1:122" ht="71" thickBot="1">
      <c r="A8" s="50">
        <v>2017</v>
      </c>
      <c r="B8" s="51" t="s">
        <v>118</v>
      </c>
      <c r="C8" s="52">
        <f>+VLOOKUP(B8,'Indice por pilar'!$B$9:$C$20,2,FALSE)</f>
        <v>0.05</v>
      </c>
      <c r="D8" s="52">
        <f>+VLOOKUP(B8,[1]PONDERACIÓN!$B$22:$E$33,4,FALSE)</f>
        <v>0.2</v>
      </c>
      <c r="E8" s="53" t="s">
        <v>119</v>
      </c>
      <c r="F8" s="59" t="s">
        <v>134</v>
      </c>
      <c r="G8" s="60" t="s">
        <v>135</v>
      </c>
      <c r="H8" s="60" t="s">
        <v>136</v>
      </c>
      <c r="I8" s="60">
        <v>2015</v>
      </c>
      <c r="J8" s="60" t="s">
        <v>131</v>
      </c>
      <c r="K8" s="64">
        <v>0.159</v>
      </c>
      <c r="L8" s="64">
        <v>0.39500000000000002</v>
      </c>
      <c r="M8" s="64">
        <v>0.22800000000000001</v>
      </c>
      <c r="N8" s="64">
        <v>0.33500000000000002</v>
      </c>
      <c r="O8" s="64">
        <v>0.435</v>
      </c>
      <c r="P8" s="64">
        <v>0.26900000000000002</v>
      </c>
      <c r="Q8" s="64">
        <v>0.16400000000000001</v>
      </c>
      <c r="R8" s="64">
        <v>0.46200000000000002</v>
      </c>
      <c r="S8" s="64">
        <v>7.0000000000000001E-3</v>
      </c>
      <c r="T8" s="64">
        <v>0.17299999999999999</v>
      </c>
      <c r="U8" s="64">
        <v>0.26500000000000001</v>
      </c>
      <c r="V8" s="64">
        <v>0.23400000000000001</v>
      </c>
      <c r="W8" s="64">
        <v>0.29199999999999998</v>
      </c>
      <c r="X8" s="64">
        <v>0.33300000000000002</v>
      </c>
      <c r="Y8" s="64">
        <v>0.504</v>
      </c>
      <c r="Z8" s="64">
        <v>0.51</v>
      </c>
      <c r="AA8" s="64">
        <v>0.47399999999999998</v>
      </c>
      <c r="AB8" s="64">
        <v>0.45700000000000002</v>
      </c>
      <c r="AC8" s="64">
        <v>0.112</v>
      </c>
      <c r="AD8" s="64">
        <v>0.39300000000000002</v>
      </c>
      <c r="AE8" s="64">
        <v>0.17799999999999999</v>
      </c>
      <c r="AF8" s="64">
        <v>0.33800000000000002</v>
      </c>
      <c r="AG8" s="64">
        <v>0.308</v>
      </c>
      <c r="AH8" s="65">
        <v>0.223</v>
      </c>
      <c r="AI8" s="124">
        <f t="shared" si="0"/>
        <v>0.30199999999999999</v>
      </c>
      <c r="AJ8" s="124">
        <f t="shared" si="1"/>
        <v>0.13429558573469966</v>
      </c>
      <c r="AK8" s="125">
        <f t="shared" si="2"/>
        <v>0.44468736998244923</v>
      </c>
      <c r="AL8" s="125" t="str">
        <f>+HLOOKUP(AN8,$K8:$AH$68,61,FALSE)</f>
        <v>Galápagos</v>
      </c>
      <c r="AM8" s="135">
        <f t="shared" si="3"/>
        <v>0.51</v>
      </c>
      <c r="AN8" s="135">
        <f t="shared" si="4"/>
        <v>7.0000000000000001E-3</v>
      </c>
      <c r="AO8" s="124">
        <f t="shared" si="5"/>
        <v>72.857142857142861</v>
      </c>
      <c r="AP8" s="135">
        <f>+AN8</f>
        <v>7.0000000000000001E-3</v>
      </c>
      <c r="AQ8" s="136">
        <f>+HLOOKUP($AQ$3,$K$3:$AH$67,6,FALSE)</f>
        <v>0.17299999999999999</v>
      </c>
      <c r="AR8" s="134">
        <f>100-(((K8-AN8)/(AM8-AN8))*100)</f>
        <v>69.781312127236589</v>
      </c>
      <c r="AS8" s="134">
        <f>100-(((L8-AR8)/(AN8-AR8))*100)</f>
        <v>0.55607857414983641</v>
      </c>
      <c r="AT8" s="134">
        <f>100-(((M8-AS8)/(AR8-AS8))*100)</f>
        <v>100.47392916904822</v>
      </c>
      <c r="AU8" s="134">
        <f>100-(((N8-AT8)/(AS8-AT8))*100)</f>
        <v>-0.22126033820140378</v>
      </c>
      <c r="AV8" s="134">
        <f>100-(((O8-AU8)/(AT8-AU8))*100)</f>
        <v>99.348270417471966</v>
      </c>
      <c r="AW8" s="134">
        <f>100-(((P8-AV8)/(AU8-AV8))*100)</f>
        <v>0.49237988215935502</v>
      </c>
      <c r="AX8" s="134">
        <f>100-(((Q8-AW8)/(AV8-AW8))*100)</f>
        <v>100.33218038943471</v>
      </c>
      <c r="AY8" s="134">
        <f>100-(((R8-AX8)/(AW8-AX8))*100)</f>
        <v>-3.0428628668104807E-2</v>
      </c>
      <c r="AZ8" s="134">
        <f>100-(((S8-AY8)/(AX8-AY8))*100)</f>
        <v>99.962706600561418</v>
      </c>
      <c r="BA8" s="134">
        <f>100-(((T8-AZ8)/(AY8-AZ8))*100)</f>
        <v>0.20344259453587199</v>
      </c>
      <c r="BB8" s="134">
        <f>100-(((U8-BA8)/(AZ8-BA8))*100)</f>
        <v>99.938294046094398</v>
      </c>
      <c r="BC8" s="134">
        <f>100-(((V8-BB8)/(BA8-BB8))*100)</f>
        <v>3.0638643382303599E-2</v>
      </c>
      <c r="BD8" s="134">
        <f>100-(((W8-BC8)/(BB8-BC8))*100)</f>
        <v>99.738397067207529</v>
      </c>
      <c r="BE8" s="134">
        <f>100-(((X8-BD8)/(BC8-BD8))*100)</f>
        <v>0.30324757210212283</v>
      </c>
      <c r="BF8" s="134">
        <f>100-(((Y8-BE8)/(BD8-BE8))*100)</f>
        <v>99.798107179486109</v>
      </c>
      <c r="BG8" s="134">
        <f>100-(((Z8-BF8)/(BE8-BF8))*100)</f>
        <v>0.20780212034445356</v>
      </c>
      <c r="BH8" s="134">
        <f>100-(((AA8-BG8)/(BF8-BG8))*100)</f>
        <v>99.732707034587889</v>
      </c>
      <c r="BI8" s="134">
        <f>100-(((AB8-BH8)/(BG8-BH8))*100)</f>
        <v>0.25038745816463859</v>
      </c>
      <c r="BJ8" s="134">
        <f>100-(((AC8-BI8)/(BH8-BI8))*100)</f>
        <v>100.13910759093059</v>
      </c>
      <c r="BK8" s="134">
        <f>100-(((AD8-BJ8)/(BI8-BJ8))*100)</f>
        <v>0.14277141767939838</v>
      </c>
      <c r="BL8" s="134">
        <f>100-(((AE8-BK8)/(BJ8-BK8))*100)</f>
        <v>99.964770126917884</v>
      </c>
      <c r="BM8" s="134">
        <f>100-(((AF8-BL8)/(BK8-BL8))*100)</f>
        <v>0.19557671139129695</v>
      </c>
      <c r="BN8" s="134">
        <f>100-(((AG8-BM8)/(BL8-BM8))*100)</f>
        <v>99.887316630755478</v>
      </c>
      <c r="BO8" s="134">
        <f>100-(((AH8-BN8)/(BM8-BN8))*100)</f>
        <v>2.7508085053867148E-2</v>
      </c>
      <c r="BP8" s="129">
        <f t="shared" si="6"/>
        <v>100.47392916904822</v>
      </c>
      <c r="BQ8" s="129">
        <f t="shared" si="7"/>
        <v>-0.22126033820140378</v>
      </c>
      <c r="BR8" s="129">
        <f t="shared" si="8"/>
        <v>48.802301769659444</v>
      </c>
      <c r="BS8" s="129">
        <f t="shared" si="9"/>
        <v>50.032388167053519</v>
      </c>
      <c r="BT8" s="130">
        <f t="shared" si="10"/>
        <v>1.02520549959303</v>
      </c>
      <c r="BU8" s="131">
        <f t="shared" si="11"/>
        <v>0.69781312127236594</v>
      </c>
      <c r="BV8" s="131">
        <f t="shared" si="11"/>
        <v>5.5607857414983648E-3</v>
      </c>
      <c r="BW8" s="131">
        <f t="shared" si="11"/>
        <v>1.0047392916904823</v>
      </c>
      <c r="BX8" s="131">
        <f t="shared" si="11"/>
        <v>-2.2126033820140381E-3</v>
      </c>
      <c r="BY8" s="131">
        <f t="shared" si="11"/>
        <v>0.99348270417471984</v>
      </c>
      <c r="BZ8" s="131">
        <f t="shared" si="11"/>
        <v>4.9237988215935502E-3</v>
      </c>
      <c r="CA8" s="131">
        <f t="shared" si="11"/>
        <v>1.0033218038943472</v>
      </c>
      <c r="CB8" s="131">
        <f t="shared" si="11"/>
        <v>-3.0428628668104812E-4</v>
      </c>
      <c r="CC8" s="131">
        <f t="shared" si="11"/>
        <v>0.99962706600561424</v>
      </c>
      <c r="CD8" s="131">
        <f t="shared" si="11"/>
        <v>2.03442594535872E-3</v>
      </c>
      <c r="CE8" s="131">
        <f t="shared" si="11"/>
        <v>0.99938294046094411</v>
      </c>
      <c r="CF8" s="131">
        <f t="shared" si="11"/>
        <v>3.06386433823036E-4</v>
      </c>
      <c r="CG8" s="131">
        <f t="shared" si="11"/>
        <v>0.99738397067207529</v>
      </c>
      <c r="CH8" s="131">
        <f t="shared" si="11"/>
        <v>3.0324757210212286E-3</v>
      </c>
      <c r="CI8" s="131">
        <f t="shared" si="11"/>
        <v>0.99798107179486117</v>
      </c>
      <c r="CJ8" s="131">
        <f t="shared" si="11"/>
        <v>2.0780212034445357E-3</v>
      </c>
      <c r="CK8" s="131">
        <f t="shared" si="12"/>
        <v>0.99732707034587897</v>
      </c>
      <c r="CL8" s="131">
        <f t="shared" si="12"/>
        <v>2.5038745816463861E-3</v>
      </c>
      <c r="CM8" s="131">
        <f t="shared" si="12"/>
        <v>1.0013910759093061</v>
      </c>
      <c r="CN8" s="131">
        <f t="shared" si="12"/>
        <v>1.427714176793984E-3</v>
      </c>
      <c r="CO8" s="131">
        <f t="shared" si="12"/>
        <v>0.99964770126917901</v>
      </c>
      <c r="CP8" s="131">
        <f t="shared" si="12"/>
        <v>1.9557671139129695E-3</v>
      </c>
      <c r="CQ8" s="131">
        <f t="shared" si="12"/>
        <v>0.99887316630755485</v>
      </c>
      <c r="CR8" s="131">
        <f t="shared" si="12"/>
        <v>2.7508085053867153E-4</v>
      </c>
      <c r="CS8" s="131">
        <f t="shared" si="12"/>
        <v>1.0047392916904823</v>
      </c>
      <c r="CT8" s="132">
        <f t="shared" si="15"/>
        <v>13.956262425447319</v>
      </c>
      <c r="CU8" s="132">
        <f t="shared" si="13"/>
        <v>0.11121571482996728</v>
      </c>
      <c r="CV8" s="132">
        <f t="shared" si="13"/>
        <v>20.094785833809645</v>
      </c>
      <c r="CW8" s="132">
        <f t="shared" si="13"/>
        <v>-4.4252067640280758E-2</v>
      </c>
      <c r="CX8" s="132">
        <f t="shared" si="13"/>
        <v>19.869654083494396</v>
      </c>
      <c r="CY8" s="132">
        <f t="shared" si="13"/>
        <v>9.8475976431871004E-2</v>
      </c>
      <c r="CZ8" s="132">
        <f t="shared" si="13"/>
        <v>20.066436077886944</v>
      </c>
      <c r="DA8" s="132">
        <f t="shared" si="13"/>
        <v>-6.0857257336209619E-3</v>
      </c>
      <c r="DB8" s="132">
        <f t="shared" si="13"/>
        <v>19.992541320112284</v>
      </c>
      <c r="DC8" s="132">
        <f t="shared" si="13"/>
        <v>4.0688518907174398E-2</v>
      </c>
      <c r="DD8" s="132">
        <f t="shared" si="13"/>
        <v>19.987658809218882</v>
      </c>
      <c r="DE8" s="132">
        <f t="shared" si="13"/>
        <v>6.1277286764607197E-3</v>
      </c>
      <c r="DF8" s="132">
        <f t="shared" si="13"/>
        <v>19.947679413441506</v>
      </c>
      <c r="DG8" s="132">
        <f t="shared" si="13"/>
        <v>6.0649514420424572E-2</v>
      </c>
      <c r="DH8" s="132">
        <f t="shared" si="13"/>
        <v>19.959621435897223</v>
      </c>
      <c r="DI8" s="132">
        <f t="shared" si="13"/>
        <v>4.1560424068890711E-2</v>
      </c>
      <c r="DJ8" s="132">
        <f t="shared" si="13"/>
        <v>19.946541406917579</v>
      </c>
      <c r="DK8" s="132">
        <f t="shared" si="14"/>
        <v>5.0077491632927719E-2</v>
      </c>
      <c r="DL8" s="132">
        <f t="shared" si="14"/>
        <v>20.027821518186119</v>
      </c>
      <c r="DM8" s="132">
        <f t="shared" si="14"/>
        <v>2.8554283535879677E-2</v>
      </c>
      <c r="DN8" s="132">
        <f t="shared" si="14"/>
        <v>19.992954025383579</v>
      </c>
      <c r="DO8" s="132">
        <f t="shared" si="14"/>
        <v>3.9115342278259392E-2</v>
      </c>
      <c r="DP8" s="132">
        <f t="shared" si="14"/>
        <v>19.977463326151096</v>
      </c>
      <c r="DQ8" s="132">
        <f t="shared" si="14"/>
        <v>5.5016170107734302E-3</v>
      </c>
      <c r="DR8" s="58"/>
    </row>
    <row r="9" spans="1:122" ht="85" thickBot="1">
      <c r="A9" s="50">
        <v>2017</v>
      </c>
      <c r="B9" s="51" t="s">
        <v>137</v>
      </c>
      <c r="C9" s="52">
        <f>+VLOOKUP(B9,'Indice por pilar'!$B$9:$C$20,2,FALSE)</f>
        <v>0.15</v>
      </c>
      <c r="D9" s="52">
        <f>+VLOOKUP(B9,[1]PONDERACIÓN!$B$22:$E$33,4,FALSE)</f>
        <v>0.1111111111111111</v>
      </c>
      <c r="E9" s="53" t="s">
        <v>124</v>
      </c>
      <c r="F9" s="59" t="s">
        <v>138</v>
      </c>
      <c r="G9" s="60" t="s">
        <v>139</v>
      </c>
      <c r="H9" s="60" t="s">
        <v>140</v>
      </c>
      <c r="I9" s="60">
        <v>2015</v>
      </c>
      <c r="J9" s="60" t="s">
        <v>141</v>
      </c>
      <c r="K9" s="62">
        <v>12304.490291482924</v>
      </c>
      <c r="L9" s="62">
        <v>4975.4068347116536</v>
      </c>
      <c r="M9" s="62">
        <v>8230.5928392812784</v>
      </c>
      <c r="N9" s="62">
        <v>6800.9128790105415</v>
      </c>
      <c r="O9" s="62">
        <v>7172.5143530674413</v>
      </c>
      <c r="P9" s="62">
        <v>7213.5452334659558</v>
      </c>
      <c r="Q9" s="62">
        <v>9462.0154964277099</v>
      </c>
      <c r="R9" s="62">
        <v>9376.2958844757577</v>
      </c>
      <c r="S9" s="62">
        <v>13398.252414678274</v>
      </c>
      <c r="T9" s="62">
        <v>12303.136611034963</v>
      </c>
      <c r="U9" s="62">
        <v>8037.5797045173604</v>
      </c>
      <c r="V9" s="62">
        <v>6652.482124780393</v>
      </c>
      <c r="W9" s="62">
        <v>7234.0512767360497</v>
      </c>
      <c r="X9" s="62">
        <v>7433.0521921895643</v>
      </c>
      <c r="Y9" s="62">
        <v>4976.8694802065465</v>
      </c>
      <c r="Z9" s="62">
        <v>5550.1889011365629</v>
      </c>
      <c r="AA9" s="62">
        <v>49506.1570241753</v>
      </c>
      <c r="AB9" s="62">
        <v>13102.979191112276</v>
      </c>
      <c r="AC9" s="62">
        <v>17287.329274821695</v>
      </c>
      <c r="AD9" s="62">
        <v>20812.623276408282</v>
      </c>
      <c r="AE9" s="62">
        <v>10002.265859499257</v>
      </c>
      <c r="AF9" s="62">
        <v>5075.5653719676729</v>
      </c>
      <c r="AG9" s="62">
        <v>8926.2207603332336</v>
      </c>
      <c r="AH9" s="63">
        <v>8337.1347563980817</v>
      </c>
      <c r="AI9" s="124">
        <f t="shared" si="0"/>
        <v>11007.152584663281</v>
      </c>
      <c r="AJ9" s="124">
        <f t="shared" si="1"/>
        <v>9078.7569443443281</v>
      </c>
      <c r="AK9" s="125">
        <f t="shared" si="2"/>
        <v>0.82480522319588212</v>
      </c>
      <c r="AL9" s="125" t="str">
        <f>+HLOOKUP(AN9,$K9:$AH$68,60,FALSE)</f>
        <v>Bolívar</v>
      </c>
      <c r="AM9" s="133">
        <f t="shared" si="3"/>
        <v>49506.1570241753</v>
      </c>
      <c r="AN9" s="133">
        <f t="shared" si="4"/>
        <v>4975.4068347116536</v>
      </c>
      <c r="AO9" s="124">
        <f t="shared" si="5"/>
        <v>9.9501726529755015</v>
      </c>
      <c r="AP9" s="133">
        <f>+AM9</f>
        <v>49506.1570241753</v>
      </c>
      <c r="AQ9" s="127">
        <f>+HLOOKUP($AQ$3,$K$3:$AH$67,7,FALSE)</f>
        <v>12303.136611034963</v>
      </c>
      <c r="AR9" s="128">
        <f>(((K9-$AN9)/($AM9-$AN9))*100)</f>
        <v>16.458477401769425</v>
      </c>
      <c r="AS9" s="128">
        <f>(((L9-$AN9)/($AM9-$AN9))*100)</f>
        <v>0</v>
      </c>
      <c r="AT9" s="128">
        <f>(((M9-$AN9)/($AM9-$AN9))*100)</f>
        <v>7.3099734244760821</v>
      </c>
      <c r="AU9" s="128">
        <f>(((N9-$AN9)/($AM9-$AN9))*100)</f>
        <v>4.0994280054388534</v>
      </c>
      <c r="AV9" s="128">
        <f>(((O9-$AN9)/($AM9-$AN9))*100)</f>
        <v>4.9339108571219228</v>
      </c>
      <c r="AW9" s="128">
        <f>(((P9-$AN9)/($AM9-$AN9))*100)</f>
        <v>5.0260514121854269</v>
      </c>
      <c r="AX9" s="128">
        <f>(((Q9-$AN9)/($AM9-$AN9))*100)</f>
        <v>10.075304464054653</v>
      </c>
      <c r="AY9" s="128">
        <f>(((R9-$AN9)/($AM9-$AN9))*100)</f>
        <v>9.8828091398410614</v>
      </c>
      <c r="AZ9" s="128">
        <f>(((S9-$AN9)/($AM9-$AN9))*100)</f>
        <v>18.914672544545493</v>
      </c>
      <c r="BA9" s="128">
        <f>(((T9-$AN9)/($AM9-$AN9))*100)</f>
        <v>16.455437523837432</v>
      </c>
      <c r="BB9" s="128">
        <f>(((U9-$AN9)/($AM9-$AN9))*100)</f>
        <v>6.8765355552672522</v>
      </c>
      <c r="BC9" s="128">
        <f>(((V9-$AN9)/($AM9-$AN9))*100)</f>
        <v>3.7661060793571579</v>
      </c>
      <c r="BD9" s="128">
        <f>(((W9-$AN9)/($AM9-$AN9))*100)</f>
        <v>5.0721005876043179</v>
      </c>
      <c r="BE9" s="128">
        <f>(((X9-$AN9)/($AM9-$AN9))*100)</f>
        <v>5.5189848520885922</v>
      </c>
      <c r="BF9" s="128">
        <f>(((Y9-$AN9)/($AM9-$AN9))*100)</f>
        <v>3.2845741171435329E-3</v>
      </c>
      <c r="BG9" s="128">
        <f>(((Z9-$AN9)/($AM9-$AN9))*100)</f>
        <v>1.2907531626559205</v>
      </c>
      <c r="BH9" s="128">
        <f>(((AA9-$AN9)/($AM9-$AN9))*100)</f>
        <v>100</v>
      </c>
      <c r="BI9" s="128">
        <f>(((AB9-$AN9)/($AM9-$AN9))*100)</f>
        <v>18.251595407264606</v>
      </c>
      <c r="BJ9" s="128">
        <f>(((AC9-$AN9)/($AM9-$AN9))*100)</f>
        <v>27.648136148003065</v>
      </c>
      <c r="BK9" s="128">
        <f>(((AD9-$AN9)/($AM9-$AN9))*100)</f>
        <v>35.564674689544859</v>
      </c>
      <c r="BL9" s="128">
        <f>(((AE9-$AN9)/($AM9-$AN9))*100)</f>
        <v>11.288511878645604</v>
      </c>
      <c r="BM9" s="128">
        <f>(((AF9-$AN9)/($AM9-$AN9))*100)</f>
        <v>0.22491994145591049</v>
      </c>
      <c r="BN9" s="128">
        <f>(((AG9-$AN9)/($AM9-$AN9))*100)</f>
        <v>8.8721027802410042</v>
      </c>
      <c r="BO9" s="128">
        <f>(((AH9-$AN9)/($AM9-$AN9))*100)</f>
        <v>7.5492281342294607</v>
      </c>
      <c r="BP9" s="129">
        <f t="shared" si="6"/>
        <v>100</v>
      </c>
      <c r="BQ9" s="129">
        <f t="shared" si="7"/>
        <v>0</v>
      </c>
      <c r="BR9" s="129">
        <f t="shared" si="8"/>
        <v>13.54512494015605</v>
      </c>
      <c r="BS9" s="129">
        <f t="shared" si="9"/>
        <v>20.38761284217583</v>
      </c>
      <c r="BT9" s="130">
        <f t="shared" si="10"/>
        <v>1.5051624058287165</v>
      </c>
      <c r="BU9" s="131">
        <f t="shared" si="11"/>
        <v>0.27430795669615704</v>
      </c>
      <c r="BV9" s="131">
        <f t="shared" si="11"/>
        <v>0</v>
      </c>
      <c r="BW9" s="131">
        <f t="shared" si="11"/>
        <v>0.1218328904079347</v>
      </c>
      <c r="BX9" s="131">
        <f t="shared" si="11"/>
        <v>6.8323800090647563E-2</v>
      </c>
      <c r="BY9" s="131">
        <f t="shared" si="11"/>
        <v>8.2231847618698714E-2</v>
      </c>
      <c r="BZ9" s="131">
        <f t="shared" si="11"/>
        <v>8.3767523536423777E-2</v>
      </c>
      <c r="CA9" s="131">
        <f t="shared" si="11"/>
        <v>0.16792174106757754</v>
      </c>
      <c r="CB9" s="131">
        <f t="shared" si="11"/>
        <v>0.16471348566401767</v>
      </c>
      <c r="CC9" s="131">
        <f t="shared" si="11"/>
        <v>0.3152445424090915</v>
      </c>
      <c r="CD9" s="131">
        <f t="shared" si="11"/>
        <v>0.27425729206395716</v>
      </c>
      <c r="CE9" s="131">
        <f t="shared" si="11"/>
        <v>0.11460892592112085</v>
      </c>
      <c r="CF9" s="131">
        <f t="shared" si="11"/>
        <v>6.2768434655952637E-2</v>
      </c>
      <c r="CG9" s="131">
        <f t="shared" si="11"/>
        <v>8.4535009793405294E-2</v>
      </c>
      <c r="CH9" s="131">
        <f t="shared" si="11"/>
        <v>9.1983080868143205E-2</v>
      </c>
      <c r="CI9" s="131">
        <f t="shared" si="11"/>
        <v>5.4742901952392208E-5</v>
      </c>
      <c r="CJ9" s="131">
        <f t="shared" si="11"/>
        <v>2.1512552710932005E-2</v>
      </c>
      <c r="CK9" s="131">
        <f t="shared" si="12"/>
        <v>1.6666666666666665</v>
      </c>
      <c r="CL9" s="131">
        <f t="shared" si="12"/>
        <v>0.30419325678774339</v>
      </c>
      <c r="CM9" s="131">
        <f t="shared" si="12"/>
        <v>0.46080226913338435</v>
      </c>
      <c r="CN9" s="131">
        <f t="shared" si="12"/>
        <v>0.59274457815908088</v>
      </c>
      <c r="CO9" s="131">
        <f t="shared" si="12"/>
        <v>0.18814186464409338</v>
      </c>
      <c r="CP9" s="131">
        <f t="shared" si="12"/>
        <v>3.7486656909318412E-3</v>
      </c>
      <c r="CQ9" s="131">
        <f t="shared" si="12"/>
        <v>0.14786837967068339</v>
      </c>
      <c r="CR9" s="131">
        <f t="shared" si="12"/>
        <v>0.12582046890382431</v>
      </c>
      <c r="CS9" s="131">
        <f t="shared" si="12"/>
        <v>1.6666666666666665</v>
      </c>
      <c r="CT9" s="132">
        <f t="shared" si="15"/>
        <v>1.8287197113077138</v>
      </c>
      <c r="CU9" s="132">
        <f t="shared" si="13"/>
        <v>0</v>
      </c>
      <c r="CV9" s="132">
        <f t="shared" si="13"/>
        <v>0.81221926938623135</v>
      </c>
      <c r="CW9" s="132">
        <f t="shared" si="13"/>
        <v>0.45549200060431705</v>
      </c>
      <c r="CX9" s="132">
        <f t="shared" si="13"/>
        <v>0.54821231745799137</v>
      </c>
      <c r="CY9" s="132">
        <f t="shared" si="13"/>
        <v>0.55845015690949185</v>
      </c>
      <c r="CZ9" s="132">
        <f t="shared" si="13"/>
        <v>1.1194782737838502</v>
      </c>
      <c r="DA9" s="132">
        <f t="shared" si="13"/>
        <v>1.0980899044267844</v>
      </c>
      <c r="DB9" s="132">
        <f t="shared" si="13"/>
        <v>2.1016302827272768</v>
      </c>
      <c r="DC9" s="132">
        <f t="shared" si="13"/>
        <v>1.8283819470930478</v>
      </c>
      <c r="DD9" s="132">
        <f t="shared" si="13"/>
        <v>0.76405950614080576</v>
      </c>
      <c r="DE9" s="132">
        <f t="shared" si="13"/>
        <v>0.41845623103968421</v>
      </c>
      <c r="DF9" s="132">
        <f t="shared" si="13"/>
        <v>0.56356673195603524</v>
      </c>
      <c r="DG9" s="132">
        <f t="shared" si="13"/>
        <v>0.61322053912095464</v>
      </c>
      <c r="DH9" s="132">
        <f t="shared" si="13"/>
        <v>3.6495267968261475E-4</v>
      </c>
      <c r="DI9" s="132">
        <f t="shared" si="13"/>
        <v>0.14341701807288004</v>
      </c>
      <c r="DJ9" s="132">
        <f t="shared" si="13"/>
        <v>11.111111111111111</v>
      </c>
      <c r="DK9" s="132">
        <f t="shared" si="14"/>
        <v>2.0279550452516228</v>
      </c>
      <c r="DL9" s="132">
        <f t="shared" si="14"/>
        <v>3.072015127555896</v>
      </c>
      <c r="DM9" s="132">
        <f t="shared" si="14"/>
        <v>3.9516305210605398</v>
      </c>
      <c r="DN9" s="132">
        <f t="shared" si="14"/>
        <v>1.2542790976272893</v>
      </c>
      <c r="DO9" s="132">
        <f t="shared" si="14"/>
        <v>2.4991104606212275E-2</v>
      </c>
      <c r="DP9" s="132">
        <f t="shared" si="14"/>
        <v>0.98578919780455598</v>
      </c>
      <c r="DQ9" s="132">
        <f t="shared" si="14"/>
        <v>0.83880312602549556</v>
      </c>
      <c r="DR9" s="58"/>
    </row>
    <row r="10" spans="1:122" ht="132">
      <c r="A10" s="50">
        <v>2017</v>
      </c>
      <c r="B10" s="51" t="s">
        <v>137</v>
      </c>
      <c r="C10" s="52">
        <f>+VLOOKUP(B10,'Indice por pilar'!$B$9:$C$20,2,FALSE)</f>
        <v>0.15</v>
      </c>
      <c r="D10" s="52">
        <f>+VLOOKUP(B10,[1]PONDERACIÓN!$B$22:$E$33,4,FALSE)</f>
        <v>0.1111111111111111</v>
      </c>
      <c r="E10" s="53" t="s">
        <v>124</v>
      </c>
      <c r="F10" s="59" t="s">
        <v>142</v>
      </c>
      <c r="G10" s="60" t="s">
        <v>143</v>
      </c>
      <c r="H10" s="66" t="s">
        <v>368</v>
      </c>
      <c r="I10" s="60">
        <v>2015</v>
      </c>
      <c r="J10" s="60" t="s">
        <v>141</v>
      </c>
      <c r="K10" s="62">
        <v>6692.2137505105557</v>
      </c>
      <c r="L10" s="62">
        <v>3020.9089403657858</v>
      </c>
      <c r="M10" s="62">
        <v>4553.1369813348729</v>
      </c>
      <c r="N10" s="62">
        <v>4162.0281794137227</v>
      </c>
      <c r="O10" s="62">
        <v>4054.1702230489632</v>
      </c>
      <c r="P10" s="62">
        <v>4230.9816263363391</v>
      </c>
      <c r="Q10" s="62">
        <v>5482.3647933465791</v>
      </c>
      <c r="R10" s="62">
        <v>4716.173126556454</v>
      </c>
      <c r="S10" s="62">
        <v>8238.8319649306213</v>
      </c>
      <c r="T10" s="62">
        <v>6695.7418078753826</v>
      </c>
      <c r="U10" s="62">
        <v>4713.5965093224031</v>
      </c>
      <c r="V10" s="62">
        <v>4093.0451644920267</v>
      </c>
      <c r="W10" s="62">
        <v>4569.5828659099825</v>
      </c>
      <c r="X10" s="62">
        <v>4088.0164056105477</v>
      </c>
      <c r="Y10" s="62">
        <v>3061.2712696390799</v>
      </c>
      <c r="Z10" s="62">
        <v>3546.2057233438063</v>
      </c>
      <c r="AA10" s="62">
        <v>25411.599688486778</v>
      </c>
      <c r="AB10" s="62">
        <v>7303.5775721818345</v>
      </c>
      <c r="AC10" s="62">
        <v>9825.3067633846022</v>
      </c>
      <c r="AD10" s="62">
        <v>10260.271750716533</v>
      </c>
      <c r="AE10" s="62">
        <v>5463.9175595803617</v>
      </c>
      <c r="AF10" s="62">
        <v>3168.9981908540035</v>
      </c>
      <c r="AG10" s="62">
        <v>4061.8835519881172</v>
      </c>
      <c r="AH10" s="63">
        <v>4890.2088558568748</v>
      </c>
      <c r="AI10" s="124">
        <f t="shared" si="0"/>
        <v>6096.00138604526</v>
      </c>
      <c r="AJ10" s="124">
        <f t="shared" si="1"/>
        <v>4564.3485083405649</v>
      </c>
      <c r="AK10" s="125">
        <f t="shared" si="2"/>
        <v>0.74874466380357163</v>
      </c>
      <c r="AL10" s="125" t="str">
        <f>+HLOOKUP(AN10,$K10:$AH$68,59,FALSE)</f>
        <v>Bolívar</v>
      </c>
      <c r="AM10" s="133">
        <f t="shared" si="3"/>
        <v>25411.599688486778</v>
      </c>
      <c r="AN10" s="133">
        <f t="shared" si="4"/>
        <v>3020.9089403657858</v>
      </c>
      <c r="AO10" s="124">
        <f t="shared" si="5"/>
        <v>8.411905221284103</v>
      </c>
      <c r="AP10" s="133">
        <f>+AM10</f>
        <v>25411.599688486778</v>
      </c>
      <c r="AQ10" s="127">
        <f>+HLOOKUP($AQ$3,$K$3:$AH$67,8,FALSE)</f>
        <v>6695.7418078753826</v>
      </c>
      <c r="AR10" s="128">
        <f>(((K10-$AN10)/($AM10-$AN10))*100)</f>
        <v>16.396567892631282</v>
      </c>
      <c r="AS10" s="128">
        <f>(((L10-$AN10)/($AM10-$AN10))*100)</f>
        <v>0</v>
      </c>
      <c r="AT10" s="128">
        <f>(((M10-$AN10)/($AM10-$AN10))*100)</f>
        <v>6.8431477090436355</v>
      </c>
      <c r="AU10" s="128">
        <f>(((N10-$AN10)/($AM10-$AN10))*100)</f>
        <v>5.0964003383580234</v>
      </c>
      <c r="AV10" s="128">
        <f>(((O10-$AN10)/($AM10-$AN10))*100)</f>
        <v>4.6146914104018322</v>
      </c>
      <c r="AW10" s="128">
        <f>(((P10-$AN10)/($AM10-$AN10))*100)</f>
        <v>5.404356210279496</v>
      </c>
      <c r="AX10" s="128">
        <f>(((Q10-$AN10)/($AM10-$AN10))*100)</f>
        <v>10.993210886927891</v>
      </c>
      <c r="AY10" s="128">
        <f>(((R10-$AN10)/($AM10-$AN10))*100)</f>
        <v>7.5712902529946877</v>
      </c>
      <c r="AZ10" s="128">
        <f>(((S10-$AN10)/($AM10-$AN10))*100)</f>
        <v>23.30398415691003</v>
      </c>
      <c r="BA10" s="128">
        <f>(((T10-$AN10)/($AM10-$AN10))*100)</f>
        <v>16.412324697119875</v>
      </c>
      <c r="BB10" s="128">
        <f>(((U10-$AN10)/($AM10-$AN10))*100)</f>
        <v>7.5597827150494057</v>
      </c>
      <c r="BC10" s="128">
        <f>(((V10-$AN10)/($AM10-$AN10))*100)</f>
        <v>4.7883124115597617</v>
      </c>
      <c r="BD10" s="128">
        <f>(((W10-$AN10)/($AM10-$AN10))*100)</f>
        <v>6.9165973616698713</v>
      </c>
      <c r="BE10" s="128">
        <f>(((X10-$AN10)/($AM10-$AN10))*100)</f>
        <v>4.7658532612903537</v>
      </c>
      <c r="BF10" s="128">
        <f>(((Y10-$AN10)/($AM10-$AN10))*100)</f>
        <v>0.18026388612723473</v>
      </c>
      <c r="BG10" s="128">
        <f>(((Z10-$AN10)/($AM10-$AN10))*100)</f>
        <v>2.3460499226541409</v>
      </c>
      <c r="BH10" s="128">
        <f>(((AA10-$AN10)/($AM10-$AN10))*100)</f>
        <v>100</v>
      </c>
      <c r="BI10" s="128">
        <f>(((AB10-$AN10)/($AM10-$AN10))*100)</f>
        <v>19.127005414852803</v>
      </c>
      <c r="BJ10" s="128">
        <f>(((AC10-$AN10)/($AM10-$AN10))*100)</f>
        <v>30.389405577359579</v>
      </c>
      <c r="BK10" s="128">
        <f>(((AD10-$AN10)/($AM10-$AN10))*100)</f>
        <v>32.332020891129801</v>
      </c>
      <c r="BL10" s="128">
        <f>(((AE10-$AN10)/($AM10-$AN10))*100)</f>
        <v>10.910822925012221</v>
      </c>
      <c r="BM10" s="128">
        <f>(((AF10-$AN10)/($AM10-$AN10))*100)</f>
        <v>0.66138759252277723</v>
      </c>
      <c r="BN10" s="128">
        <f>(((AG10-$AN10)/($AM10-$AN10))*100)</f>
        <v>4.6491402312351129</v>
      </c>
      <c r="BO10" s="128">
        <f>(((AH10-$AN10)/($AM10-$AN10))*100)</f>
        <v>8.3485584992412925</v>
      </c>
      <c r="BP10" s="129">
        <f t="shared" si="6"/>
        <v>100</v>
      </c>
      <c r="BQ10" s="129">
        <f t="shared" si="7"/>
        <v>0</v>
      </c>
      <c r="BR10" s="129">
        <f t="shared" si="8"/>
        <v>13.733798926848793</v>
      </c>
      <c r="BS10" s="129">
        <f t="shared" si="9"/>
        <v>20.385027687114125</v>
      </c>
      <c r="BT10" s="130">
        <f t="shared" si="10"/>
        <v>1.4842963549773951</v>
      </c>
      <c r="BU10" s="131">
        <f t="shared" si="11"/>
        <v>0.27327613154385466</v>
      </c>
      <c r="BV10" s="131">
        <f t="shared" si="11"/>
        <v>0</v>
      </c>
      <c r="BW10" s="131">
        <f t="shared" si="11"/>
        <v>0.11405246181739392</v>
      </c>
      <c r="BX10" s="131">
        <f t="shared" si="11"/>
        <v>8.4940005639300389E-2</v>
      </c>
      <c r="BY10" s="131">
        <f t="shared" si="11"/>
        <v>7.6911523506697194E-2</v>
      </c>
      <c r="BZ10" s="131">
        <f t="shared" si="11"/>
        <v>9.0072603504658261E-2</v>
      </c>
      <c r="CA10" s="131">
        <f t="shared" si="11"/>
        <v>0.18322018144879818</v>
      </c>
      <c r="CB10" s="131">
        <f t="shared" si="11"/>
        <v>0.12618817088324477</v>
      </c>
      <c r="CC10" s="131">
        <f t="shared" si="11"/>
        <v>0.38839973594850047</v>
      </c>
      <c r="CD10" s="131">
        <f t="shared" si="11"/>
        <v>0.27353874495199787</v>
      </c>
      <c r="CE10" s="131">
        <f t="shared" si="11"/>
        <v>0.12599637858415674</v>
      </c>
      <c r="CF10" s="131">
        <f t="shared" si="11"/>
        <v>7.9805206859329361E-2</v>
      </c>
      <c r="CG10" s="131">
        <f t="shared" si="11"/>
        <v>0.11527662269449784</v>
      </c>
      <c r="CH10" s="131">
        <f t="shared" si="11"/>
        <v>7.9430887688172552E-2</v>
      </c>
      <c r="CI10" s="131">
        <f t="shared" si="11"/>
        <v>3.0043981021205786E-3</v>
      </c>
      <c r="CJ10" s="131">
        <f t="shared" si="11"/>
        <v>3.910083204423568E-2</v>
      </c>
      <c r="CK10" s="131">
        <f t="shared" si="12"/>
        <v>1.6666666666666665</v>
      </c>
      <c r="CL10" s="131">
        <f t="shared" si="12"/>
        <v>0.31878342358088002</v>
      </c>
      <c r="CM10" s="131">
        <f t="shared" si="12"/>
        <v>0.5064900929559929</v>
      </c>
      <c r="CN10" s="131">
        <f t="shared" si="12"/>
        <v>0.53886701485216326</v>
      </c>
      <c r="CO10" s="131">
        <f t="shared" si="12"/>
        <v>0.18184704875020366</v>
      </c>
      <c r="CP10" s="131">
        <f t="shared" si="12"/>
        <v>1.1023126542046286E-2</v>
      </c>
      <c r="CQ10" s="131">
        <f t="shared" si="12"/>
        <v>7.7485670520585206E-2</v>
      </c>
      <c r="CR10" s="131">
        <f t="shared" si="12"/>
        <v>0.13914264165402154</v>
      </c>
      <c r="CS10" s="131">
        <f t="shared" si="12"/>
        <v>1.6666666666666665</v>
      </c>
      <c r="CT10" s="132">
        <f t="shared" si="15"/>
        <v>1.8218408769590313</v>
      </c>
      <c r="CU10" s="132">
        <f t="shared" si="13"/>
        <v>0</v>
      </c>
      <c r="CV10" s="132">
        <f t="shared" si="13"/>
        <v>0.76034974544929279</v>
      </c>
      <c r="CW10" s="132">
        <f t="shared" si="13"/>
        <v>0.56626670426200254</v>
      </c>
      <c r="CX10" s="132">
        <f t="shared" si="13"/>
        <v>0.51274349004464803</v>
      </c>
      <c r="CY10" s="132">
        <f t="shared" si="13"/>
        <v>0.60048402336438844</v>
      </c>
      <c r="CZ10" s="132">
        <f t="shared" si="13"/>
        <v>1.2214678763253211</v>
      </c>
      <c r="DA10" s="132">
        <f t="shared" si="13"/>
        <v>0.84125447255496522</v>
      </c>
      <c r="DB10" s="132">
        <f t="shared" si="13"/>
        <v>2.589331572990003</v>
      </c>
      <c r="DC10" s="132">
        <f t="shared" si="13"/>
        <v>1.8235916330133193</v>
      </c>
      <c r="DD10" s="132">
        <f t="shared" si="13"/>
        <v>0.83997585722771173</v>
      </c>
      <c r="DE10" s="132">
        <f t="shared" si="13"/>
        <v>0.53203471239552902</v>
      </c>
      <c r="DF10" s="132">
        <f t="shared" si="13"/>
        <v>0.76851081796331899</v>
      </c>
      <c r="DG10" s="132">
        <f t="shared" si="13"/>
        <v>0.52953925125448376</v>
      </c>
      <c r="DH10" s="132">
        <f t="shared" si="13"/>
        <v>2.0029320680803857E-2</v>
      </c>
      <c r="DI10" s="132">
        <f t="shared" si="13"/>
        <v>0.26067221362823789</v>
      </c>
      <c r="DJ10" s="132">
        <f t="shared" si="13"/>
        <v>11.111111111111111</v>
      </c>
      <c r="DK10" s="132">
        <f t="shared" si="14"/>
        <v>2.1252228238725337</v>
      </c>
      <c r="DL10" s="132">
        <f t="shared" si="14"/>
        <v>3.3766006197066196</v>
      </c>
      <c r="DM10" s="132">
        <f t="shared" si="14"/>
        <v>3.592446765681089</v>
      </c>
      <c r="DN10" s="132">
        <f t="shared" si="14"/>
        <v>1.2123136583346912</v>
      </c>
      <c r="DO10" s="132">
        <f t="shared" si="14"/>
        <v>7.3487510280308574E-2</v>
      </c>
      <c r="DP10" s="132">
        <f t="shared" si="14"/>
        <v>0.51657113680390143</v>
      </c>
      <c r="DQ10" s="132">
        <f t="shared" si="14"/>
        <v>0.92761761102681017</v>
      </c>
      <c r="DR10" s="58"/>
    </row>
    <row r="11" spans="1:122" ht="84">
      <c r="A11" s="50">
        <v>2017</v>
      </c>
      <c r="B11" s="51" t="s">
        <v>137</v>
      </c>
      <c r="C11" s="52">
        <f>+VLOOKUP(B11,'Indice por pilar'!$B$9:$C$20,2,FALSE)</f>
        <v>0.15</v>
      </c>
      <c r="D11" s="52">
        <f>+VLOOKUP(B11,[1]PONDERACIÓN!$B$22:$E$33,4,FALSE)</f>
        <v>0.1111111111111111</v>
      </c>
      <c r="E11" s="67" t="s">
        <v>124</v>
      </c>
      <c r="F11" s="59" t="s">
        <v>144</v>
      </c>
      <c r="G11" s="60" t="s">
        <v>145</v>
      </c>
      <c r="H11" s="60" t="s">
        <v>146</v>
      </c>
      <c r="I11" s="60">
        <v>2016</v>
      </c>
      <c r="J11" s="60" t="s">
        <v>147</v>
      </c>
      <c r="K11" s="68">
        <v>684277.0315716156</v>
      </c>
      <c r="L11" s="68">
        <v>64462.280046394873</v>
      </c>
      <c r="M11" s="68">
        <v>144662.4541708114</v>
      </c>
      <c r="N11" s="68">
        <v>114666.08124042689</v>
      </c>
      <c r="O11" s="68">
        <v>142749.90852215854</v>
      </c>
      <c r="P11" s="68">
        <v>201543.6787429284</v>
      </c>
      <c r="Q11" s="68">
        <v>305857.52285406535</v>
      </c>
      <c r="R11" s="68">
        <v>131047.38482883101</v>
      </c>
      <c r="S11" s="68">
        <v>1194389.309982487</v>
      </c>
      <c r="T11" s="68">
        <v>940766.33758270182</v>
      </c>
      <c r="U11" s="68">
        <v>252273.55677423888</v>
      </c>
      <c r="V11" s="68">
        <v>165633.2710806609</v>
      </c>
      <c r="W11" s="68">
        <v>90331.499297661649</v>
      </c>
      <c r="X11" s="68">
        <v>136899.98548526046</v>
      </c>
      <c r="Y11" s="68">
        <v>99299.642828173572</v>
      </c>
      <c r="Z11" s="68">
        <v>116615.59061496478</v>
      </c>
      <c r="AA11" s="68">
        <v>177691.4103786035</v>
      </c>
      <c r="AB11" s="68">
        <v>151858.23478250505</v>
      </c>
      <c r="AC11" s="68">
        <v>2245093.7821647977</v>
      </c>
      <c r="AD11" s="68">
        <v>128727.9346298563</v>
      </c>
      <c r="AE11" s="68">
        <v>337737.64265938406</v>
      </c>
      <c r="AF11" s="68">
        <v>673820.24295219744</v>
      </c>
      <c r="AG11" s="68">
        <v>79667.861402752897</v>
      </c>
      <c r="AH11" s="69">
        <v>187405.17583346239</v>
      </c>
      <c r="AI11" s="124">
        <f t="shared" si="0"/>
        <v>365311.57585112256</v>
      </c>
      <c r="AJ11" s="124">
        <f t="shared" si="1"/>
        <v>495615.08385786333</v>
      </c>
      <c r="AK11" s="125">
        <f t="shared" si="2"/>
        <v>1.3566914289621199</v>
      </c>
      <c r="AL11" s="125" t="str">
        <f>+HLOOKUP(AN11,$K11:$AH$68,58,FALSE)</f>
        <v>Bolívar</v>
      </c>
      <c r="AM11" s="138">
        <f t="shared" si="3"/>
        <v>2245093.7821647977</v>
      </c>
      <c r="AN11" s="138">
        <f t="shared" si="4"/>
        <v>64462.280046394873</v>
      </c>
      <c r="AO11" s="124">
        <f t="shared" si="5"/>
        <v>34.828023156316469</v>
      </c>
      <c r="AP11" s="138">
        <f>+AM11</f>
        <v>2245093.7821647977</v>
      </c>
      <c r="AQ11" s="127">
        <f>+HLOOKUP($AQ$3,$K$3:$AH$67,9,FALSE)</f>
        <v>940766.33758270182</v>
      </c>
      <c r="AR11" s="134">
        <f>(((K11-$AN11)/($AM11-$AN11))*100)</f>
        <v>28.42363558093578</v>
      </c>
      <c r="AS11" s="134">
        <f>(((L11-$AN11)/($AM11-$AN11))*100)</f>
        <v>0</v>
      </c>
      <c r="AT11" s="134">
        <f>(((M11-$AN11)/($AM11-$AN11))*100)</f>
        <v>3.6778416732265411</v>
      </c>
      <c r="AU11" s="134">
        <f>(((N11-$AN11)/($AM11-$AN11))*100)</f>
        <v>2.3022597419720339</v>
      </c>
      <c r="AV11" s="134">
        <f>(((O11-$AN11)/($AM11-$AN11))*100)</f>
        <v>3.5901356281292887</v>
      </c>
      <c r="AW11" s="134">
        <f>(((P11-$AN11)/($AM11-$AN11))*100)</f>
        <v>6.28631653552487</v>
      </c>
      <c r="AX11" s="134">
        <f>(((Q11-$AN11)/($AM11-$AN11))*100)</f>
        <v>11.069969528238216</v>
      </c>
      <c r="AY11" s="134">
        <f>(((R11-$AN11)/($AM11-$AN11))*100)</f>
        <v>3.0534780735649818</v>
      </c>
      <c r="AZ11" s="134">
        <f>(((S11-$AN11)/($AM11-$AN11))*100)</f>
        <v>51.816504936226501</v>
      </c>
      <c r="BA11" s="134">
        <f>(((T11-$AN11)/($AM11-$AN11))*100)</f>
        <v>40.185792816668474</v>
      </c>
      <c r="BB11" s="134">
        <f>(((U11-$AN11)/($AM11-$AN11))*100)</f>
        <v>8.612701253989604</v>
      </c>
      <c r="BC11" s="134">
        <f>(((V11-$AN11)/($AM11-$AN11))*100)</f>
        <v>4.6395271707293118</v>
      </c>
      <c r="BD11" s="134">
        <f>(((W11-$AN11)/($AM11-$AN11))*100)</f>
        <v>1.1863177811627406</v>
      </c>
      <c r="BE11" s="134">
        <f>(((X11-$AN11)/($AM11-$AN11))*100)</f>
        <v>3.3218682463540969</v>
      </c>
      <c r="BF11" s="134">
        <f>(((Y11-$AN11)/($AM11-$AN11))*100)</f>
        <v>1.5975813771348113</v>
      </c>
      <c r="BG11" s="134">
        <f>(((Z11-$AN11)/($AM11-$AN11))*100)</f>
        <v>2.3916608797912393</v>
      </c>
      <c r="BH11" s="134">
        <f>(((AA11-$AN11)/($AM11-$AN11))*100)</f>
        <v>5.1924926436314767</v>
      </c>
      <c r="BI11" s="134">
        <f>(((AB11-$AN11)/($AM11-$AN11))*100)</f>
        <v>4.0078277623343626</v>
      </c>
      <c r="BJ11" s="134">
        <f>(((AC11-$AN11)/($AM11-$AN11))*100)</f>
        <v>100</v>
      </c>
      <c r="BK11" s="134">
        <f>(((AD11-$AN11)/($AM11-$AN11))*100)</f>
        <v>2.9471120875319707</v>
      </c>
      <c r="BL11" s="134">
        <f>(((AE11-$AN11)/($AM11-$AN11))*100)</f>
        <v>12.531936842493211</v>
      </c>
      <c r="BM11" s="134">
        <f>(((AF11-$AN11)/($AM11-$AN11))*100)</f>
        <v>27.94410528848335</v>
      </c>
      <c r="BN11" s="134">
        <f>(((AG11-$AN11)/($AM11-$AN11))*100)</f>
        <v>0.69730173766573422</v>
      </c>
      <c r="BO11" s="134">
        <f>(((AH11-$AN11)/($AM11-$AN11))*100)</f>
        <v>5.6379491751647652</v>
      </c>
      <c r="BP11" s="129">
        <f t="shared" si="6"/>
        <v>100</v>
      </c>
      <c r="BQ11" s="129">
        <f t="shared" si="7"/>
        <v>0</v>
      </c>
      <c r="BR11" s="129">
        <f t="shared" si="8"/>
        <v>13.796429865039721</v>
      </c>
      <c r="BS11" s="129">
        <f t="shared" si="9"/>
        <v>22.728053014752447</v>
      </c>
      <c r="BT11" s="130">
        <f t="shared" si="10"/>
        <v>1.6473865512371095</v>
      </c>
      <c r="BU11" s="131">
        <f t="shared" si="11"/>
        <v>0.47372725968226298</v>
      </c>
      <c r="BV11" s="131">
        <f t="shared" si="11"/>
        <v>0</v>
      </c>
      <c r="BW11" s="131">
        <f t="shared" si="11"/>
        <v>6.129736122044234E-2</v>
      </c>
      <c r="BX11" s="131">
        <f t="shared" si="11"/>
        <v>3.8370995699533894E-2</v>
      </c>
      <c r="BY11" s="131">
        <f t="shared" si="11"/>
        <v>5.9835593802154807E-2</v>
      </c>
      <c r="BZ11" s="131">
        <f t="shared" si="11"/>
        <v>0.10477194225874782</v>
      </c>
      <c r="CA11" s="131">
        <f t="shared" si="11"/>
        <v>0.18449949213730357</v>
      </c>
      <c r="CB11" s="131">
        <f t="shared" si="11"/>
        <v>5.0891301226083027E-2</v>
      </c>
      <c r="CC11" s="131">
        <f t="shared" si="11"/>
        <v>0.86360841560377488</v>
      </c>
      <c r="CD11" s="131">
        <f t="shared" si="11"/>
        <v>0.66976321361114111</v>
      </c>
      <c r="CE11" s="131">
        <f t="shared" si="11"/>
        <v>0.14354502089982671</v>
      </c>
      <c r="CF11" s="131">
        <f t="shared" si="11"/>
        <v>7.7325452845488529E-2</v>
      </c>
      <c r="CG11" s="131">
        <f t="shared" si="11"/>
        <v>1.9771963019379005E-2</v>
      </c>
      <c r="CH11" s="131">
        <f t="shared" si="11"/>
        <v>5.5364470772568279E-2</v>
      </c>
      <c r="CI11" s="131">
        <f t="shared" si="11"/>
        <v>2.6626356285580188E-2</v>
      </c>
      <c r="CJ11" s="131">
        <f t="shared" si="11"/>
        <v>3.9861014663187318E-2</v>
      </c>
      <c r="CK11" s="131">
        <f t="shared" si="12"/>
        <v>8.6541544060524611E-2</v>
      </c>
      <c r="CL11" s="131">
        <f t="shared" si="12"/>
        <v>6.6797129372239375E-2</v>
      </c>
      <c r="CM11" s="131">
        <f t="shared" si="12"/>
        <v>1.6666666666666665</v>
      </c>
      <c r="CN11" s="131">
        <f t="shared" si="12"/>
        <v>4.9118534792199513E-2</v>
      </c>
      <c r="CO11" s="131">
        <f t="shared" si="12"/>
        <v>0.20886561404155349</v>
      </c>
      <c r="CP11" s="131">
        <f t="shared" si="12"/>
        <v>0.46573508814138914</v>
      </c>
      <c r="CQ11" s="131">
        <f t="shared" si="12"/>
        <v>1.1621695627762236E-2</v>
      </c>
      <c r="CR11" s="131">
        <f t="shared" si="12"/>
        <v>9.3965819586079413E-2</v>
      </c>
      <c r="CS11" s="131">
        <f t="shared" si="12"/>
        <v>1.6666666666666665</v>
      </c>
      <c r="CT11" s="132">
        <f t="shared" si="15"/>
        <v>3.1581817312150866</v>
      </c>
      <c r="CU11" s="132">
        <f t="shared" si="13"/>
        <v>0</v>
      </c>
      <c r="CV11" s="132">
        <f t="shared" si="13"/>
        <v>0.40864907480294899</v>
      </c>
      <c r="CW11" s="132">
        <f t="shared" si="13"/>
        <v>0.25580663799689263</v>
      </c>
      <c r="CX11" s="132">
        <f t="shared" si="13"/>
        <v>0.39890395868103207</v>
      </c>
      <c r="CY11" s="132">
        <f t="shared" si="13"/>
        <v>0.6984796150583189</v>
      </c>
      <c r="CZ11" s="132">
        <f t="shared" si="13"/>
        <v>1.2299966142486907</v>
      </c>
      <c r="DA11" s="132">
        <f t="shared" si="13"/>
        <v>0.33927534150722016</v>
      </c>
      <c r="DB11" s="132">
        <f t="shared" si="13"/>
        <v>5.7573894373584995</v>
      </c>
      <c r="DC11" s="132">
        <f t="shared" si="13"/>
        <v>4.4650880907409416</v>
      </c>
      <c r="DD11" s="132">
        <f t="shared" si="13"/>
        <v>0.95696680599884487</v>
      </c>
      <c r="DE11" s="132">
        <f t="shared" si="13"/>
        <v>0.51550301896992345</v>
      </c>
      <c r="DF11" s="132">
        <f t="shared" si="13"/>
        <v>0.13181308679586007</v>
      </c>
      <c r="DG11" s="132">
        <f t="shared" si="13"/>
        <v>0.36909647181712185</v>
      </c>
      <c r="DH11" s="132">
        <f t="shared" si="13"/>
        <v>0.1775090419038679</v>
      </c>
      <c r="DI11" s="132">
        <f t="shared" si="13"/>
        <v>0.26574009775458213</v>
      </c>
      <c r="DJ11" s="132">
        <f t="shared" si="13"/>
        <v>0.576943627070164</v>
      </c>
      <c r="DK11" s="132">
        <f t="shared" si="14"/>
        <v>0.44531419581492915</v>
      </c>
      <c r="DL11" s="132">
        <f t="shared" si="14"/>
        <v>11.111111111111111</v>
      </c>
      <c r="DM11" s="132">
        <f t="shared" si="14"/>
        <v>0.32745689861466337</v>
      </c>
      <c r="DN11" s="132">
        <f t="shared" si="14"/>
        <v>1.3924374269436901</v>
      </c>
      <c r="DO11" s="132">
        <f t="shared" si="14"/>
        <v>3.104900587609261</v>
      </c>
      <c r="DP11" s="132">
        <f t="shared" si="14"/>
        <v>7.7477970851748248E-2</v>
      </c>
      <c r="DQ11" s="132">
        <f t="shared" si="14"/>
        <v>0.62643879724052942</v>
      </c>
      <c r="DR11" s="58"/>
    </row>
    <row r="12" spans="1:122" ht="176">
      <c r="A12" s="50">
        <v>2017</v>
      </c>
      <c r="B12" s="51" t="s">
        <v>137</v>
      </c>
      <c r="C12" s="52">
        <f>+VLOOKUP(B12,'Indice por pilar'!$B$9:$C$20,2,FALSE)</f>
        <v>0.15</v>
      </c>
      <c r="D12" s="52">
        <f>+VLOOKUP(B12,[1]PONDERACIÓN!$B$22:$E$33,4,FALSE)</f>
        <v>0.1111111111111111</v>
      </c>
      <c r="E12" s="67" t="s">
        <v>124</v>
      </c>
      <c r="F12" s="59" t="s">
        <v>148</v>
      </c>
      <c r="G12" s="60" t="s">
        <v>149</v>
      </c>
      <c r="H12" s="66" t="s">
        <v>369</v>
      </c>
      <c r="I12" s="60">
        <v>2015</v>
      </c>
      <c r="J12" s="60" t="s">
        <v>141</v>
      </c>
      <c r="K12" s="62">
        <v>6.69</v>
      </c>
      <c r="L12" s="62">
        <v>3.04</v>
      </c>
      <c r="M12" s="62">
        <v>4.63</v>
      </c>
      <c r="N12" s="62">
        <v>4.16</v>
      </c>
      <c r="O12" s="62">
        <v>4.12</v>
      </c>
      <c r="P12" s="62">
        <v>4.58</v>
      </c>
      <c r="Q12" s="62">
        <v>5.57</v>
      </c>
      <c r="R12" s="62">
        <v>4.41</v>
      </c>
      <c r="S12" s="62">
        <v>9.83</v>
      </c>
      <c r="T12" s="62">
        <v>7.18</v>
      </c>
      <c r="U12" s="62">
        <v>5.41</v>
      </c>
      <c r="V12" s="62">
        <v>4.3099999999999996</v>
      </c>
      <c r="W12" s="62">
        <v>5.17</v>
      </c>
      <c r="X12" s="62">
        <v>4.55</v>
      </c>
      <c r="Y12" s="62">
        <v>3.22</v>
      </c>
      <c r="Z12" s="62">
        <v>3.59</v>
      </c>
      <c r="AA12" s="62">
        <v>3.3</v>
      </c>
      <c r="AB12" s="62">
        <v>4.79</v>
      </c>
      <c r="AC12" s="62">
        <v>10</v>
      </c>
      <c r="AD12" s="62">
        <v>4.24</v>
      </c>
      <c r="AE12" s="62">
        <v>6.26</v>
      </c>
      <c r="AF12" s="62">
        <v>3.29</v>
      </c>
      <c r="AG12" s="62">
        <v>7.74</v>
      </c>
      <c r="AH12" s="63">
        <v>4.8899999999999997</v>
      </c>
      <c r="AI12" s="124">
        <f t="shared" si="0"/>
        <v>5.2070833333333342</v>
      </c>
      <c r="AJ12" s="124">
        <f t="shared" si="1"/>
        <v>1.8972668652488009</v>
      </c>
      <c r="AK12" s="125">
        <f t="shared" si="2"/>
        <v>0.36436268517221104</v>
      </c>
      <c r="AL12" s="125" t="str">
        <f>+HLOOKUP(AN12,$K12:$AH$68,57,FALSE)</f>
        <v>Bolívar</v>
      </c>
      <c r="AM12" s="133">
        <f t="shared" si="3"/>
        <v>10</v>
      </c>
      <c r="AN12" s="133">
        <f t="shared" si="4"/>
        <v>3.04</v>
      </c>
      <c r="AO12" s="124">
        <f t="shared" si="5"/>
        <v>3.2894736842105261</v>
      </c>
      <c r="AP12" s="133">
        <f>+AM12</f>
        <v>10</v>
      </c>
      <c r="AQ12" s="127">
        <f>+HLOOKUP($AQ$3,$K$3:$AH$67,10,FALSE)</f>
        <v>7.18</v>
      </c>
      <c r="AR12" s="134">
        <f>(((K12-$AN12)/($AM12-$AN12))*100)</f>
        <v>52.442528735632187</v>
      </c>
      <c r="AS12" s="134">
        <f>(((L12-$AN12)/($AM12-$AN12))*100)</f>
        <v>0</v>
      </c>
      <c r="AT12" s="134">
        <f>(((M12-$AN12)/($AM12-$AN12))*100)</f>
        <v>22.844827586206897</v>
      </c>
      <c r="AU12" s="134">
        <f>(((N12-$AN12)/($AM12-$AN12))*100)</f>
        <v>16.09195402298851</v>
      </c>
      <c r="AV12" s="134">
        <f>(((O12-$AN12)/($AM12-$AN12))*100)</f>
        <v>15.517241379310345</v>
      </c>
      <c r="AW12" s="134">
        <f>(((P12-$AN12)/($AM12-$AN12))*100)</f>
        <v>22.126436781609197</v>
      </c>
      <c r="AX12" s="134">
        <f>(((Q12-$AN12)/($AM12-$AN12))*100)</f>
        <v>36.350574712643677</v>
      </c>
      <c r="AY12" s="134">
        <f>(((R12-$AN12)/($AM12-$AN12))*100)</f>
        <v>19.683908045977013</v>
      </c>
      <c r="AZ12" s="134">
        <f>(((S12-$AN12)/($AM12-$AN12))*100)</f>
        <v>97.557471264367805</v>
      </c>
      <c r="BA12" s="134">
        <f>(((T12-$AN12)/($AM12-$AN12))*100)</f>
        <v>59.482758620689644</v>
      </c>
      <c r="BB12" s="134">
        <f>(((U12-$AN12)/($AM12-$AN12))*100)</f>
        <v>34.051724137931039</v>
      </c>
      <c r="BC12" s="134">
        <f>(((V12-$AN12)/($AM12-$AN12))*100)</f>
        <v>18.247126436781603</v>
      </c>
      <c r="BD12" s="134">
        <f>(((W12-$AN12)/($AM12-$AN12))*100)</f>
        <v>30.603448275862068</v>
      </c>
      <c r="BE12" s="134">
        <f>(((X12-$AN12)/($AM12-$AN12))*100)</f>
        <v>21.695402298850571</v>
      </c>
      <c r="BF12" s="134">
        <f>(((Y12-$AN12)/($AM12-$AN12))*100)</f>
        <v>2.5862068965517264</v>
      </c>
      <c r="BG12" s="134">
        <f>(((Z12-$AN12)/($AM12-$AN12))*100)</f>
        <v>7.9022988505747103</v>
      </c>
      <c r="BH12" s="134">
        <f>(((AA12-$AN12)/($AM12-$AN12))*100)</f>
        <v>3.7356321839080429</v>
      </c>
      <c r="BI12" s="134">
        <f>(((AB12-$AN12)/($AM12-$AN12))*100)</f>
        <v>25.143678160919542</v>
      </c>
      <c r="BJ12" s="134">
        <f>(((AC12-$AN12)/($AM12-$AN12))*100)</f>
        <v>100</v>
      </c>
      <c r="BK12" s="134">
        <f>(((AD12-$AN12)/($AM12-$AN12))*100)</f>
        <v>17.241379310344833</v>
      </c>
      <c r="BL12" s="134">
        <f>(((AE12-$AN12)/($AM12-$AN12))*100)</f>
        <v>46.264367816091948</v>
      </c>
      <c r="BM12" s="134">
        <f>(((AF12-$AN12)/($AM12-$AN12))*100)</f>
        <v>3.5919540229885056</v>
      </c>
      <c r="BN12" s="134">
        <f>(((AG12-$AN12)/($AM12-$AN12))*100)</f>
        <v>67.52873563218391</v>
      </c>
      <c r="BO12" s="134">
        <f>(((AH12-$AN12)/($AM12-$AN12))*100)</f>
        <v>26.580459770114938</v>
      </c>
      <c r="BP12" s="129">
        <f t="shared" si="6"/>
        <v>100</v>
      </c>
      <c r="BQ12" s="129">
        <f t="shared" si="7"/>
        <v>0</v>
      </c>
      <c r="BR12" s="129">
        <f t="shared" si="8"/>
        <v>31.136254789272034</v>
      </c>
      <c r="BS12" s="129">
        <f t="shared" si="9"/>
        <v>27.259581397252884</v>
      </c>
      <c r="BT12" s="130">
        <f t="shared" si="10"/>
        <v>0.87549326602521083</v>
      </c>
      <c r="BU12" s="131">
        <f t="shared" si="11"/>
        <v>0.87404214559386961</v>
      </c>
      <c r="BV12" s="131">
        <f t="shared" si="11"/>
        <v>0</v>
      </c>
      <c r="BW12" s="131">
        <f t="shared" si="11"/>
        <v>0.38074712643678155</v>
      </c>
      <c r="BX12" s="131">
        <f t="shared" si="11"/>
        <v>0.26819923371647514</v>
      </c>
      <c r="BY12" s="131">
        <f t="shared" si="11"/>
        <v>0.25862068965517238</v>
      </c>
      <c r="BZ12" s="131">
        <f t="shared" si="11"/>
        <v>0.36877394636015326</v>
      </c>
      <c r="CA12" s="131">
        <f t="shared" si="11"/>
        <v>0.60584291187739459</v>
      </c>
      <c r="CB12" s="131">
        <f t="shared" si="11"/>
        <v>0.32806513409961685</v>
      </c>
      <c r="CC12" s="131">
        <f t="shared" si="11"/>
        <v>1.6259578544061299</v>
      </c>
      <c r="CD12" s="131">
        <f t="shared" si="11"/>
        <v>0.9913793103448274</v>
      </c>
      <c r="CE12" s="131">
        <f t="shared" si="11"/>
        <v>0.56752873563218398</v>
      </c>
      <c r="CF12" s="131">
        <f t="shared" si="11"/>
        <v>0.30411877394636</v>
      </c>
      <c r="CG12" s="131">
        <f t="shared" si="11"/>
        <v>0.51005747126436773</v>
      </c>
      <c r="CH12" s="131">
        <f t="shared" si="11"/>
        <v>0.36159003831417613</v>
      </c>
      <c r="CI12" s="131">
        <f t="shared" si="11"/>
        <v>4.3103448275862107E-2</v>
      </c>
      <c r="CJ12" s="131">
        <f t="shared" si="11"/>
        <v>0.13170498084291182</v>
      </c>
      <c r="CK12" s="131">
        <f t="shared" si="12"/>
        <v>6.2260536398467375E-2</v>
      </c>
      <c r="CL12" s="131">
        <f t="shared" si="12"/>
        <v>0.41906130268199232</v>
      </c>
      <c r="CM12" s="131">
        <f t="shared" si="12"/>
        <v>1.6666666666666665</v>
      </c>
      <c r="CN12" s="131">
        <f t="shared" si="12"/>
        <v>0.2873563218390805</v>
      </c>
      <c r="CO12" s="131">
        <f t="shared" si="12"/>
        <v>0.77107279693486575</v>
      </c>
      <c r="CP12" s="131">
        <f t="shared" si="12"/>
        <v>5.9865900383141754E-2</v>
      </c>
      <c r="CQ12" s="131">
        <f t="shared" si="12"/>
        <v>1.125478927203065</v>
      </c>
      <c r="CR12" s="131">
        <f t="shared" si="12"/>
        <v>0.44300766283524895</v>
      </c>
      <c r="CS12" s="131">
        <f t="shared" si="12"/>
        <v>1.6666666666666665</v>
      </c>
      <c r="CT12" s="132">
        <f t="shared" si="15"/>
        <v>5.8269476372924647</v>
      </c>
      <c r="CU12" s="132">
        <f t="shared" si="13"/>
        <v>0</v>
      </c>
      <c r="CV12" s="132">
        <f t="shared" si="13"/>
        <v>2.5383141762452106</v>
      </c>
      <c r="CW12" s="132">
        <f t="shared" si="13"/>
        <v>1.7879948914431676</v>
      </c>
      <c r="CX12" s="132">
        <f t="shared" si="13"/>
        <v>1.7241379310344827</v>
      </c>
      <c r="CY12" s="132">
        <f t="shared" si="13"/>
        <v>2.4584929757343552</v>
      </c>
      <c r="CZ12" s="132">
        <f t="shared" si="13"/>
        <v>4.0389527458492971</v>
      </c>
      <c r="DA12" s="132">
        <f t="shared" si="13"/>
        <v>2.1871008939974459</v>
      </c>
      <c r="DB12" s="132">
        <f t="shared" si="13"/>
        <v>10.8397190293742</v>
      </c>
      <c r="DC12" s="132">
        <f t="shared" si="13"/>
        <v>6.6091954022988491</v>
      </c>
      <c r="DD12" s="132">
        <f t="shared" si="13"/>
        <v>3.7835249042145596</v>
      </c>
      <c r="DE12" s="132">
        <f t="shared" si="13"/>
        <v>2.0274584929757333</v>
      </c>
      <c r="DF12" s="132">
        <f t="shared" si="13"/>
        <v>3.4003831417624517</v>
      </c>
      <c r="DG12" s="132">
        <f t="shared" si="13"/>
        <v>2.4106002554278412</v>
      </c>
      <c r="DH12" s="132">
        <f t="shared" si="13"/>
        <v>0.28735632183908072</v>
      </c>
      <c r="DI12" s="132">
        <f t="shared" si="13"/>
        <v>0.87803320561941223</v>
      </c>
      <c r="DJ12" s="132">
        <f t="shared" si="13"/>
        <v>0.41507024265644921</v>
      </c>
      <c r="DK12" s="132">
        <f t="shared" si="14"/>
        <v>2.793742017879949</v>
      </c>
      <c r="DL12" s="132">
        <f t="shared" si="14"/>
        <v>11.111111111111111</v>
      </c>
      <c r="DM12" s="132">
        <f t="shared" si="14"/>
        <v>1.9157088122605368</v>
      </c>
      <c r="DN12" s="132">
        <f t="shared" si="14"/>
        <v>5.1404853128991048</v>
      </c>
      <c r="DO12" s="132">
        <f t="shared" si="14"/>
        <v>0.39910600255427836</v>
      </c>
      <c r="DP12" s="132">
        <f t="shared" si="14"/>
        <v>7.5031928480204337</v>
      </c>
      <c r="DQ12" s="132">
        <f t="shared" si="14"/>
        <v>2.9533844189016598</v>
      </c>
      <c r="DR12" s="58"/>
    </row>
    <row r="13" spans="1:122" ht="150">
      <c r="A13" s="50">
        <v>2017</v>
      </c>
      <c r="B13" s="51" t="s">
        <v>137</v>
      </c>
      <c r="C13" s="52">
        <f>+VLOOKUP(B13,'Indice por pilar'!$B$9:$C$20,2,FALSE)</f>
        <v>0.15</v>
      </c>
      <c r="D13" s="52">
        <f>+VLOOKUP(B13,[1]PONDERACIÓN!$B$22:$E$33,4,FALSE)</f>
        <v>0.1111111111111111</v>
      </c>
      <c r="E13" s="53" t="s">
        <v>124</v>
      </c>
      <c r="F13" s="59" t="s">
        <v>150</v>
      </c>
      <c r="G13" s="60" t="s">
        <v>151</v>
      </c>
      <c r="H13" s="70" t="s">
        <v>370</v>
      </c>
      <c r="I13" s="60">
        <v>2015</v>
      </c>
      <c r="J13" s="60" t="s">
        <v>141</v>
      </c>
      <c r="K13" s="62">
        <v>12.3</v>
      </c>
      <c r="L13" s="62">
        <v>5.01</v>
      </c>
      <c r="M13" s="62">
        <v>8.36</v>
      </c>
      <c r="N13" s="62">
        <v>6.8</v>
      </c>
      <c r="O13" s="62">
        <v>7.29</v>
      </c>
      <c r="P13" s="62">
        <v>7.81</v>
      </c>
      <c r="Q13" s="62">
        <v>9.6199999999999992</v>
      </c>
      <c r="R13" s="62">
        <v>6.97</v>
      </c>
      <c r="S13" s="62">
        <v>15.99</v>
      </c>
      <c r="T13" s="62">
        <v>13.2</v>
      </c>
      <c r="U13" s="62">
        <v>9.23</v>
      </c>
      <c r="V13" s="62">
        <v>7</v>
      </c>
      <c r="W13" s="62">
        <v>8.19</v>
      </c>
      <c r="X13" s="62">
        <v>8.27</v>
      </c>
      <c r="Y13" s="62">
        <v>5.24</v>
      </c>
      <c r="Z13" s="62">
        <v>5.62</v>
      </c>
      <c r="AA13" s="62">
        <v>5.15</v>
      </c>
      <c r="AB13" s="62">
        <v>7.75</v>
      </c>
      <c r="AC13" s="62">
        <v>17.59</v>
      </c>
      <c r="AD13" s="62">
        <v>6.69</v>
      </c>
      <c r="AE13" s="62">
        <v>11.46</v>
      </c>
      <c r="AF13" s="62">
        <v>5.27</v>
      </c>
      <c r="AG13" s="62">
        <v>12.62</v>
      </c>
      <c r="AH13" s="63">
        <v>8.34</v>
      </c>
      <c r="AI13" s="124">
        <f t="shared" si="0"/>
        <v>8.8237500000000022</v>
      </c>
      <c r="AJ13" s="124">
        <f t="shared" si="1"/>
        <v>3.4038173104044063</v>
      </c>
      <c r="AK13" s="125">
        <f t="shared" si="2"/>
        <v>0.38575631793788417</v>
      </c>
      <c r="AL13" s="125" t="str">
        <f>+HLOOKUP(AN13,$K13:$AH$68,56,FALSE)</f>
        <v>Bolívar</v>
      </c>
      <c r="AM13" s="133">
        <f t="shared" si="3"/>
        <v>17.59</v>
      </c>
      <c r="AN13" s="133">
        <f t="shared" si="4"/>
        <v>5.01</v>
      </c>
      <c r="AO13" s="124">
        <f t="shared" si="5"/>
        <v>3.5109780439121758</v>
      </c>
      <c r="AP13" s="133">
        <f>+AM13</f>
        <v>17.59</v>
      </c>
      <c r="AQ13" s="127">
        <f>+HLOOKUP($AQ$3,$K$3:$AH$67,11,FALSE)</f>
        <v>13.2</v>
      </c>
      <c r="AR13" s="134">
        <f>(((K13-$AN13)/($AM13-$AN13))*100)</f>
        <v>57.949125596184423</v>
      </c>
      <c r="AS13" s="134">
        <f>(((L13-$AN13)/($AM13-$AN13))*100)</f>
        <v>0</v>
      </c>
      <c r="AT13" s="134">
        <f>(((M13-$AN13)/($AM13-$AN13))*100)</f>
        <v>26.629570747217802</v>
      </c>
      <c r="AU13" s="134">
        <f>(((N13-$AN13)/($AM13-$AN13))*100)</f>
        <v>14.22893481717011</v>
      </c>
      <c r="AV13" s="134">
        <f>(((O13-$AN13)/($AM13-$AN13))*100)</f>
        <v>18.124006359300481</v>
      </c>
      <c r="AW13" s="134">
        <f>(((P13-$AN13)/($AM13-$AN13))*100)</f>
        <v>22.257551669316374</v>
      </c>
      <c r="AX13" s="134">
        <f>(((Q13-$AN13)/($AM13-$AN13))*100)</f>
        <v>36.645468998410166</v>
      </c>
      <c r="AY13" s="134">
        <f>(((R13-$AN13)/($AM13-$AN13))*100)</f>
        <v>15.580286168521463</v>
      </c>
      <c r="AZ13" s="134">
        <f>(((S13-$AN13)/($AM13-$AN13))*100)</f>
        <v>87.281399046104937</v>
      </c>
      <c r="BA13" s="134">
        <f>(((T13-$AN13)/($AM13-$AN13))*100)</f>
        <v>65.103338632750393</v>
      </c>
      <c r="BB13" s="134">
        <f>(((U13-$AN13)/($AM13-$AN13))*100)</f>
        <v>33.545310015898252</v>
      </c>
      <c r="BC13" s="134">
        <f>(((V13-$AN13)/($AM13-$AN13))*100)</f>
        <v>15.818759936406998</v>
      </c>
      <c r="BD13" s="134">
        <f>(((W13-$AN13)/($AM13-$AN13))*100)</f>
        <v>25.278219395866451</v>
      </c>
      <c r="BE13" s="134">
        <f>(((X13-$AN13)/($AM13-$AN13))*100)</f>
        <v>25.914149443561207</v>
      </c>
      <c r="BF13" s="134">
        <f>(((Y13-$AN13)/($AM13-$AN13))*100)</f>
        <v>1.8282988871224199</v>
      </c>
      <c r="BG13" s="134">
        <f>(((Z13-$AN13)/($AM13-$AN13))*100)</f>
        <v>4.8489666136724985</v>
      </c>
      <c r="BH13" s="134">
        <f>(((AA13-$AN13)/($AM13-$AN13))*100)</f>
        <v>1.1128775834658231</v>
      </c>
      <c r="BI13" s="134">
        <f>(((AB13-$AN13)/($AM13-$AN13))*100)</f>
        <v>21.78060413354531</v>
      </c>
      <c r="BJ13" s="134">
        <f>(((AC13-$AN13)/($AM13-$AN13))*100)</f>
        <v>100</v>
      </c>
      <c r="BK13" s="134">
        <f>(((AD13-$AN13)/($AM13-$AN13))*100)</f>
        <v>13.35453100158983</v>
      </c>
      <c r="BL13" s="134">
        <f>(((AE13-$AN13)/($AM13-$AN13))*100)</f>
        <v>51.271860095389513</v>
      </c>
      <c r="BM13" s="134">
        <f>(((AF13-$AN13)/($AM13-$AN13))*100)</f>
        <v>2.0667726550079477</v>
      </c>
      <c r="BN13" s="134">
        <f>(((AG13-$AN13)/($AM13-$AN13))*100)</f>
        <v>60.492845786963436</v>
      </c>
      <c r="BO13" s="134">
        <f>(((AH13-$AN13)/($AM13-$AN13))*100)</f>
        <v>26.47058823529412</v>
      </c>
      <c r="BP13" s="129">
        <f t="shared" si="6"/>
        <v>100</v>
      </c>
      <c r="BQ13" s="129">
        <f t="shared" si="7"/>
        <v>0</v>
      </c>
      <c r="BR13" s="129">
        <f t="shared" si="8"/>
        <v>30.315977742448336</v>
      </c>
      <c r="BS13" s="129">
        <f t="shared" si="9"/>
        <v>27.057371306871278</v>
      </c>
      <c r="BT13" s="130">
        <f t="shared" si="10"/>
        <v>0.89251191357703208</v>
      </c>
      <c r="BU13" s="131">
        <f t="shared" si="11"/>
        <v>0.96581875993640698</v>
      </c>
      <c r="BV13" s="131">
        <f t="shared" si="11"/>
        <v>0</v>
      </c>
      <c r="BW13" s="131">
        <f t="shared" si="11"/>
        <v>0.44382617912029665</v>
      </c>
      <c r="BX13" s="131">
        <f t="shared" si="11"/>
        <v>0.23714891361950183</v>
      </c>
      <c r="BY13" s="131">
        <f t="shared" si="11"/>
        <v>0.30206677265500798</v>
      </c>
      <c r="BZ13" s="131">
        <f t="shared" si="11"/>
        <v>0.3709591944886062</v>
      </c>
      <c r="CA13" s="131">
        <f t="shared" si="11"/>
        <v>0.61075781664016937</v>
      </c>
      <c r="CB13" s="131">
        <f t="shared" si="11"/>
        <v>0.25967143614202437</v>
      </c>
      <c r="CC13" s="131">
        <f t="shared" si="11"/>
        <v>1.4546899841017489</v>
      </c>
      <c r="CD13" s="131">
        <f t="shared" si="11"/>
        <v>1.0850556438791732</v>
      </c>
      <c r="CE13" s="131">
        <f t="shared" si="11"/>
        <v>0.55908850026497081</v>
      </c>
      <c r="CF13" s="131">
        <f t="shared" si="11"/>
        <v>0.26364599894011659</v>
      </c>
      <c r="CG13" s="131">
        <f t="shared" si="11"/>
        <v>0.42130365659777413</v>
      </c>
      <c r="CH13" s="131">
        <f t="shared" si="11"/>
        <v>0.43190249072602011</v>
      </c>
      <c r="CI13" s="131">
        <f t="shared" si="11"/>
        <v>3.0471648118707E-2</v>
      </c>
      <c r="CJ13" s="131">
        <f t="shared" si="11"/>
        <v>8.0816110227874965E-2</v>
      </c>
      <c r="CK13" s="131">
        <f t="shared" si="12"/>
        <v>1.8547959724430383E-2</v>
      </c>
      <c r="CL13" s="131">
        <f t="shared" si="12"/>
        <v>0.36301006889242182</v>
      </c>
      <c r="CM13" s="131">
        <f t="shared" si="12"/>
        <v>1.6666666666666665</v>
      </c>
      <c r="CN13" s="131">
        <f t="shared" si="12"/>
        <v>0.22257551669316381</v>
      </c>
      <c r="CO13" s="131">
        <f t="shared" si="12"/>
        <v>0.85453100158982509</v>
      </c>
      <c r="CP13" s="131">
        <f t="shared" si="12"/>
        <v>3.4446210916799128E-2</v>
      </c>
      <c r="CQ13" s="131">
        <f t="shared" si="12"/>
        <v>1.0082140964493904</v>
      </c>
      <c r="CR13" s="131">
        <f t="shared" si="12"/>
        <v>0.44117647058823528</v>
      </c>
      <c r="CS13" s="131">
        <f t="shared" si="12"/>
        <v>1.6666666666666665</v>
      </c>
      <c r="CT13" s="132">
        <f t="shared" si="15"/>
        <v>6.4387917329093796</v>
      </c>
      <c r="CU13" s="132">
        <f t="shared" si="13"/>
        <v>0</v>
      </c>
      <c r="CV13" s="132">
        <f t="shared" si="13"/>
        <v>2.958841194135311</v>
      </c>
      <c r="CW13" s="132">
        <f t="shared" si="13"/>
        <v>1.5809927574633456</v>
      </c>
      <c r="CX13" s="132">
        <f t="shared" si="13"/>
        <v>2.0137784843667199</v>
      </c>
      <c r="CY13" s="132">
        <f t="shared" si="13"/>
        <v>2.4730612965907079</v>
      </c>
      <c r="CZ13" s="132">
        <f t="shared" si="13"/>
        <v>4.071718777601129</v>
      </c>
      <c r="DA13" s="132">
        <f t="shared" si="13"/>
        <v>1.7311429076134957</v>
      </c>
      <c r="DB13" s="132">
        <f t="shared" si="13"/>
        <v>9.6979332273449916</v>
      </c>
      <c r="DC13" s="132">
        <f t="shared" si="13"/>
        <v>7.233704292527821</v>
      </c>
      <c r="DD13" s="132">
        <f t="shared" si="13"/>
        <v>3.7272566684331387</v>
      </c>
      <c r="DE13" s="132">
        <f t="shared" si="13"/>
        <v>1.7576399929341109</v>
      </c>
      <c r="DF13" s="132">
        <f t="shared" si="13"/>
        <v>2.8086910439851609</v>
      </c>
      <c r="DG13" s="132">
        <f t="shared" si="13"/>
        <v>2.8793499381734673</v>
      </c>
      <c r="DH13" s="132">
        <f t="shared" si="13"/>
        <v>0.20314432079137998</v>
      </c>
      <c r="DI13" s="132">
        <f t="shared" si="13"/>
        <v>0.53877406818583318</v>
      </c>
      <c r="DJ13" s="132">
        <f t="shared" si="13"/>
        <v>0.12365306482953589</v>
      </c>
      <c r="DK13" s="132">
        <f t="shared" si="14"/>
        <v>2.4200671259494788</v>
      </c>
      <c r="DL13" s="132">
        <f t="shared" si="14"/>
        <v>11.111111111111111</v>
      </c>
      <c r="DM13" s="132">
        <f t="shared" si="14"/>
        <v>1.4838367779544255</v>
      </c>
      <c r="DN13" s="132">
        <f t="shared" si="14"/>
        <v>5.6968733439321682</v>
      </c>
      <c r="DO13" s="132">
        <f t="shared" si="14"/>
        <v>0.22964140611199418</v>
      </c>
      <c r="DP13" s="132">
        <f t="shared" si="14"/>
        <v>6.7214273096626034</v>
      </c>
      <c r="DQ13" s="132">
        <f t="shared" si="14"/>
        <v>2.9411764705882355</v>
      </c>
      <c r="DR13" s="58"/>
    </row>
    <row r="14" spans="1:122" ht="56">
      <c r="A14" s="50">
        <v>2017</v>
      </c>
      <c r="B14" s="51" t="s">
        <v>137</v>
      </c>
      <c r="C14" s="52">
        <f>+VLOOKUP(B14,'Indice por pilar'!$B$9:$C$20,2,FALSE)</f>
        <v>0.15</v>
      </c>
      <c r="D14" s="52">
        <f>+VLOOKUP(B14,[1]PONDERACIÓN!$B$22:$E$33,4,FALSE)</f>
        <v>0.1111111111111111</v>
      </c>
      <c r="E14" s="67" t="s">
        <v>119</v>
      </c>
      <c r="F14" s="71" t="s">
        <v>152</v>
      </c>
      <c r="G14" s="60" t="s">
        <v>153</v>
      </c>
      <c r="H14" s="60" t="s">
        <v>358</v>
      </c>
      <c r="I14" s="60">
        <v>2016</v>
      </c>
      <c r="J14" s="60" t="s">
        <v>154</v>
      </c>
      <c r="K14" s="64">
        <v>0.22739999999999999</v>
      </c>
      <c r="L14" s="64">
        <v>0.23350000000000001</v>
      </c>
      <c r="M14" s="64">
        <v>0.26400000000000001</v>
      </c>
      <c r="N14" s="64">
        <v>0.31940000000000002</v>
      </c>
      <c r="O14" s="64">
        <v>0.21260000000000001</v>
      </c>
      <c r="P14" s="64">
        <v>0.214</v>
      </c>
      <c r="Q14" s="64">
        <v>0.30790000000000001</v>
      </c>
      <c r="R14" s="64">
        <v>0.22170000000000001</v>
      </c>
      <c r="S14" s="64">
        <v>0.25290000000000001</v>
      </c>
      <c r="T14" s="64">
        <v>0.2296</v>
      </c>
      <c r="U14" s="64">
        <v>0.23139999999999999</v>
      </c>
      <c r="V14" s="64">
        <v>0.21929999999999999</v>
      </c>
      <c r="W14" s="64">
        <v>0.31869999999999998</v>
      </c>
      <c r="X14" s="64">
        <v>0.23269999999999999</v>
      </c>
      <c r="Y14" s="64">
        <v>0.32400000000000001</v>
      </c>
      <c r="Z14" s="64">
        <v>0.24010000000000001</v>
      </c>
      <c r="AA14" s="64">
        <v>0.19470000000000001</v>
      </c>
      <c r="AB14" s="64">
        <v>0.21229999999999999</v>
      </c>
      <c r="AC14" s="64">
        <v>0.22789999999999999</v>
      </c>
      <c r="AD14" s="64">
        <v>0.28549999999999998</v>
      </c>
      <c r="AE14" s="64">
        <v>0.2487</v>
      </c>
      <c r="AF14" s="64">
        <v>0.23269999999999999</v>
      </c>
      <c r="AG14" s="64">
        <v>0.24199999999999999</v>
      </c>
      <c r="AH14" s="65">
        <v>0.36720000000000003</v>
      </c>
      <c r="AI14" s="124">
        <f t="shared" si="0"/>
        <v>0.25250833333333339</v>
      </c>
      <c r="AJ14" s="124">
        <f t="shared" si="1"/>
        <v>4.4295106380675402E-2</v>
      </c>
      <c r="AK14" s="125">
        <f t="shared" si="2"/>
        <v>0.17542037443256153</v>
      </c>
      <c r="AL14" s="125" t="str">
        <f>+HLOOKUP(AN14,$K14:$AH$68,55,FALSE)</f>
        <v>Francisco de Orellana</v>
      </c>
      <c r="AM14" s="135">
        <f t="shared" si="3"/>
        <v>0.36720000000000003</v>
      </c>
      <c r="AN14" s="135">
        <f t="shared" si="4"/>
        <v>0.19470000000000001</v>
      </c>
      <c r="AO14" s="124">
        <f t="shared" si="5"/>
        <v>1.8859784283513097</v>
      </c>
      <c r="AP14" s="135">
        <f>+AN14</f>
        <v>0.19470000000000001</v>
      </c>
      <c r="AQ14" s="139">
        <f>+HLOOKUP($AQ$3,$K$3:$AH$67,12,FALSE)</f>
        <v>0.2296</v>
      </c>
      <c r="AR14" s="134">
        <f>100-(((K14-AN14)/(AM14-AN14))*100)</f>
        <v>81.043478260869577</v>
      </c>
      <c r="AS14" s="134">
        <f>100-(((L14-AR14)/(AN14-AR14))*100)</f>
        <v>4.7990830331173129E-2</v>
      </c>
      <c r="AT14" s="134">
        <f>100-(((M14-AS14)/(AR14-AS14))*100)</f>
        <v>99.733307155100363</v>
      </c>
      <c r="AU14" s="134">
        <f>100-(((N14-AT14)/(AS14-AT14))*100)</f>
        <v>0.27226594615459021</v>
      </c>
      <c r="AV14" s="134">
        <f>100-(((O14-AU14)/(AT14-AU14))*100)</f>
        <v>100.05998926356426</v>
      </c>
      <c r="AW14" s="134">
        <f>100-(((P14-AV14)/(AU14-AV14))*100)</f>
        <v>-5.8389894285141963E-2</v>
      </c>
      <c r="AX14" s="134">
        <f>100-(((Q14-AW14)/(AV14-AW14))*100)</f>
        <v>99.634143203909005</v>
      </c>
      <c r="AY14" s="134">
        <f>100-(((R14-AX14)/(AW14-AX14))*100)</f>
        <v>0.28095373402665302</v>
      </c>
      <c r="AZ14" s="134">
        <f>100-(((S14-AY14)/(AX14-AY14))*100)</f>
        <v>100.0282363698401</v>
      </c>
      <c r="BA14" s="134">
        <f>100-(((T14-AZ14)/(AY14-AZ14))*100)</f>
        <v>-5.1483842636741883E-2</v>
      </c>
      <c r="BB14" s="134">
        <f>100-(((U14-BA14)/(AZ14-BA14))*100)</f>
        <v>99.717341493325364</v>
      </c>
      <c r="BC14" s="134">
        <f>100-(((V14-BB14)/(BA14-BB14))*100)</f>
        <v>0.27141127674391896</v>
      </c>
      <c r="BD14" s="134">
        <f>100-(((W14-BC14)/(BB14-BC14))*100)</f>
        <v>99.952447804396726</v>
      </c>
      <c r="BE14" s="134">
        <f>100-(((X14-BD14)/(BC14-BD14))*100)</f>
        <v>-3.8835146676262866E-2</v>
      </c>
      <c r="BF14" s="134">
        <f>100-(((Y14-BE14)/(BD14-BE14))*100)</f>
        <v>99.637133222049158</v>
      </c>
      <c r="BG14" s="134">
        <f>100-(((Z14-BF14)/(BE14-BF14))*100)</f>
        <v>0.27984192302442068</v>
      </c>
      <c r="BH14" s="134">
        <f>100-(((AA14-BG14)/(BF14-BG14))*100)</f>
        <v>100.08569267731764</v>
      </c>
      <c r="BI14" s="134">
        <f>100-(((AB14-BH14)/(BG14-BH14))*100)</f>
        <v>-6.7673310245822904E-2</v>
      </c>
      <c r="BJ14" s="134">
        <f>100-(((AC14-BI14)/(BH14-BI14))*100)</f>
        <v>99.704879304523303</v>
      </c>
      <c r="BK14" s="134">
        <f>100-(((AD14-BJ14)/(BI14-BJ14))*100)</f>
        <v>0.35397842491758524</v>
      </c>
      <c r="BL14" s="134">
        <f>100-(((AE14-BK14)/(BJ14-BK14))*100)</f>
        <v>100.10596625092022</v>
      </c>
      <c r="BM14" s="134">
        <f>100-(((AF14-BL14)/(BK14-BL14))*100)</f>
        <v>-0.12157995801460686</v>
      </c>
      <c r="BN14" s="134">
        <f>100-(((AG14-BM14)/(BL14-BM14))*100)</f>
        <v>99.637245476152145</v>
      </c>
      <c r="BO14" s="134">
        <f>100-(((AH14-BN14)/(BM14-BN14))*100)</f>
        <v>0.48996162082637795</v>
      </c>
      <c r="BP14" s="129">
        <f t="shared" si="6"/>
        <v>100.10596625092022</v>
      </c>
      <c r="BQ14" s="129">
        <f t="shared" si="7"/>
        <v>-0.12157995801460686</v>
      </c>
      <c r="BR14" s="129">
        <f t="shared" si="8"/>
        <v>49.208262586922253</v>
      </c>
      <c r="BS14" s="129">
        <f t="shared" si="9"/>
        <v>50.266164324178654</v>
      </c>
      <c r="BT14" s="130">
        <f t="shared" si="10"/>
        <v>1.0214984574061665</v>
      </c>
      <c r="BU14" s="131">
        <f t="shared" si="11"/>
        <v>1.3507246376811595</v>
      </c>
      <c r="BV14" s="131">
        <f t="shared" si="11"/>
        <v>7.9984717218621864E-4</v>
      </c>
      <c r="BW14" s="131">
        <f t="shared" si="11"/>
        <v>1.662221785918339</v>
      </c>
      <c r="BX14" s="131">
        <f t="shared" si="11"/>
        <v>4.5377657692431692E-3</v>
      </c>
      <c r="BY14" s="131">
        <f t="shared" si="11"/>
        <v>1.667666487726071</v>
      </c>
      <c r="BZ14" s="131">
        <f t="shared" si="11"/>
        <v>-9.731649047523659E-4</v>
      </c>
      <c r="CA14" s="131">
        <f t="shared" si="11"/>
        <v>1.6605690533984832</v>
      </c>
      <c r="CB14" s="131">
        <f t="shared" si="11"/>
        <v>4.6825622337775498E-3</v>
      </c>
      <c r="CC14" s="131">
        <f t="shared" si="11"/>
        <v>1.6671372728306681</v>
      </c>
      <c r="CD14" s="131">
        <f t="shared" si="11"/>
        <v>-8.5806404394569795E-4</v>
      </c>
      <c r="CE14" s="131">
        <f t="shared" si="11"/>
        <v>1.6619556915554226</v>
      </c>
      <c r="CF14" s="131">
        <f t="shared" si="11"/>
        <v>4.523521279065316E-3</v>
      </c>
      <c r="CG14" s="131">
        <f t="shared" si="11"/>
        <v>1.6658741300732787</v>
      </c>
      <c r="CH14" s="131">
        <f t="shared" si="11"/>
        <v>-6.4725244460438105E-4</v>
      </c>
      <c r="CI14" s="131">
        <f t="shared" si="11"/>
        <v>1.6606188870341523</v>
      </c>
      <c r="CJ14" s="131">
        <f t="shared" si="11"/>
        <v>4.6640320504070113E-3</v>
      </c>
      <c r="CK14" s="131">
        <f t="shared" si="12"/>
        <v>1.6680948779552938</v>
      </c>
      <c r="CL14" s="131">
        <f t="shared" si="12"/>
        <v>-1.1278885040970482E-3</v>
      </c>
      <c r="CM14" s="131">
        <f t="shared" si="12"/>
        <v>1.6617479884087216</v>
      </c>
      <c r="CN14" s="131">
        <f t="shared" si="12"/>
        <v>5.8996404152930866E-3</v>
      </c>
      <c r="CO14" s="131">
        <f t="shared" si="12"/>
        <v>1.6684327708486701</v>
      </c>
      <c r="CP14" s="131">
        <f t="shared" si="12"/>
        <v>-2.0263326335767809E-3</v>
      </c>
      <c r="CQ14" s="131">
        <f t="shared" si="12"/>
        <v>1.6606207579358689</v>
      </c>
      <c r="CR14" s="131">
        <f t="shared" si="12"/>
        <v>8.1660270137729647E-3</v>
      </c>
      <c r="CS14" s="131">
        <f t="shared" si="12"/>
        <v>1.6684327708486701</v>
      </c>
      <c r="CT14" s="132">
        <f t="shared" si="15"/>
        <v>9.004830917874397</v>
      </c>
      <c r="CU14" s="132">
        <f t="shared" si="13"/>
        <v>5.3323144812414585E-3</v>
      </c>
      <c r="CV14" s="132">
        <f t="shared" si="13"/>
        <v>11.081478572788928</v>
      </c>
      <c r="CW14" s="132">
        <f t="shared" si="13"/>
        <v>3.0251771794954467E-2</v>
      </c>
      <c r="CX14" s="132">
        <f t="shared" si="13"/>
        <v>11.117776584840472</v>
      </c>
      <c r="CY14" s="132">
        <f t="shared" si="13"/>
        <v>-6.4877660316824404E-3</v>
      </c>
      <c r="CZ14" s="132">
        <f t="shared" si="13"/>
        <v>11.070460355989889</v>
      </c>
      <c r="DA14" s="132">
        <f t="shared" si="13"/>
        <v>3.1217081558517001E-2</v>
      </c>
      <c r="DB14" s="132">
        <f t="shared" si="13"/>
        <v>11.114248485537788</v>
      </c>
      <c r="DC14" s="132">
        <f t="shared" si="13"/>
        <v>-5.7204269596379869E-3</v>
      </c>
      <c r="DD14" s="132">
        <f t="shared" si="13"/>
        <v>11.079704610369484</v>
      </c>
      <c r="DE14" s="132">
        <f t="shared" si="13"/>
        <v>3.0156808527102105E-2</v>
      </c>
      <c r="DF14" s="132">
        <f t="shared" si="13"/>
        <v>11.105827533821858</v>
      </c>
      <c r="DG14" s="132">
        <f t="shared" si="13"/>
        <v>-4.3150162973625405E-3</v>
      </c>
      <c r="DH14" s="132">
        <f t="shared" si="13"/>
        <v>11.070792580227684</v>
      </c>
      <c r="DI14" s="132">
        <f t="shared" si="13"/>
        <v>3.1093547002713409E-2</v>
      </c>
      <c r="DJ14" s="132">
        <f t="shared" si="13"/>
        <v>11.120632519701958</v>
      </c>
      <c r="DK14" s="132">
        <f t="shared" si="14"/>
        <v>-7.5192566939803222E-3</v>
      </c>
      <c r="DL14" s="132">
        <f t="shared" si="14"/>
        <v>11.078319922724811</v>
      </c>
      <c r="DM14" s="132">
        <f t="shared" si="14"/>
        <v>3.9330936101953914E-2</v>
      </c>
      <c r="DN14" s="132">
        <f t="shared" si="14"/>
        <v>11.122885138991135</v>
      </c>
      <c r="DO14" s="132">
        <f t="shared" si="14"/>
        <v>-1.3508884223845205E-2</v>
      </c>
      <c r="DP14" s="132">
        <f t="shared" si="14"/>
        <v>11.070805052905794</v>
      </c>
      <c r="DQ14" s="132">
        <f t="shared" si="14"/>
        <v>5.4440180091819772E-2</v>
      </c>
      <c r="DR14" s="58"/>
    </row>
    <row r="15" spans="1:122" ht="70">
      <c r="A15" s="50">
        <v>2017</v>
      </c>
      <c r="B15" s="51" t="s">
        <v>137</v>
      </c>
      <c r="C15" s="52">
        <f>+VLOOKUP(B15,'Indice por pilar'!$B$9:$C$20,2,FALSE)</f>
        <v>0.15</v>
      </c>
      <c r="D15" s="52">
        <f>+VLOOKUP(B15,[1]PONDERACIÓN!$B$22:$E$33,4,FALSE)</f>
        <v>0.1111111111111111</v>
      </c>
      <c r="E15" s="67" t="s">
        <v>124</v>
      </c>
      <c r="F15" s="59" t="s">
        <v>155</v>
      </c>
      <c r="G15" s="60" t="s">
        <v>156</v>
      </c>
      <c r="H15" s="60" t="s">
        <v>157</v>
      </c>
      <c r="I15" s="60">
        <v>2015</v>
      </c>
      <c r="J15" s="60" t="s">
        <v>158</v>
      </c>
      <c r="K15" s="62">
        <v>83715.509999999995</v>
      </c>
      <c r="L15" s="62">
        <v>32914.29</v>
      </c>
      <c r="M15" s="62">
        <v>84546.12</v>
      </c>
      <c r="N15" s="62">
        <v>99420.05</v>
      </c>
      <c r="O15" s="62">
        <v>133334.79999999999</v>
      </c>
      <c r="P15" s="62">
        <v>86736.35</v>
      </c>
      <c r="Q15" s="62">
        <v>93887.47</v>
      </c>
      <c r="R15" s="62">
        <v>108849.44</v>
      </c>
      <c r="S15" s="62">
        <v>43590.75</v>
      </c>
      <c r="T15" s="62">
        <v>119582</v>
      </c>
      <c r="U15" s="62">
        <v>58269.05</v>
      </c>
      <c r="V15" s="62">
        <v>83420.45</v>
      </c>
      <c r="W15" s="62">
        <v>105276.43</v>
      </c>
      <c r="X15" s="62">
        <v>92965.6</v>
      </c>
      <c r="Y15" s="62">
        <v>11099.8</v>
      </c>
      <c r="Z15" s="62">
        <v>33429.019999999997</v>
      </c>
      <c r="AA15" s="62">
        <v>66052.91</v>
      </c>
      <c r="AB15" s="62">
        <v>30577.18</v>
      </c>
      <c r="AC15" s="62">
        <v>211270.93</v>
      </c>
      <c r="AD15" s="62">
        <v>108631.07</v>
      </c>
      <c r="AE15" s="62">
        <v>77104.94</v>
      </c>
      <c r="AF15" s="62">
        <v>13874.75</v>
      </c>
      <c r="AG15" s="62">
        <v>73649.69</v>
      </c>
      <c r="AH15" s="63">
        <v>128461.75</v>
      </c>
      <c r="AI15" s="124">
        <f t="shared" si="0"/>
        <v>82527.514583333323</v>
      </c>
      <c r="AJ15" s="124">
        <f t="shared" si="1"/>
        <v>44207.325653881111</v>
      </c>
      <c r="AK15" s="125">
        <f t="shared" si="2"/>
        <v>0.53566772096646798</v>
      </c>
      <c r="AL15" s="125" t="str">
        <f>+HLOOKUP(AN15,$K15:$AH$68,54,FALSE)</f>
        <v>Morona Santiago</v>
      </c>
      <c r="AM15" s="133">
        <f t="shared" si="3"/>
        <v>211270.93</v>
      </c>
      <c r="AN15" s="133">
        <f t="shared" si="4"/>
        <v>11099.8</v>
      </c>
      <c r="AO15" s="124">
        <f t="shared" si="5"/>
        <v>19.033760067748968</v>
      </c>
      <c r="AP15" s="133">
        <f t="shared" ref="AP15:AP20" si="16">+AM15</f>
        <v>211270.93</v>
      </c>
      <c r="AQ15" s="127">
        <f>+HLOOKUP($AQ$3,$K$3:$AH$67,13,FALSE)</f>
        <v>119582</v>
      </c>
      <c r="AR15" s="134">
        <f>(((K15-$AN15)/($AM15-$AN15))*100)</f>
        <v>36.276814743464747</v>
      </c>
      <c r="AS15" s="134">
        <f>(((L15-$AN15)/($AM15-$AN15))*100)</f>
        <v>10.897920194585502</v>
      </c>
      <c r="AT15" s="134">
        <f>(((M15-$AN15)/($AM15-$AN15))*100)</f>
        <v>36.691764691541678</v>
      </c>
      <c r="AU15" s="134">
        <f>(((N15-$AN15)/($AM15-$AN15))*100)</f>
        <v>44.122371692661169</v>
      </c>
      <c r="AV15" s="134">
        <f>(((O15-$AN15)/($AM15-$AN15))*100)</f>
        <v>61.065249519248844</v>
      </c>
      <c r="AW15" s="134">
        <f>(((P15-$AN15)/($AM15-$AN15))*100)</f>
        <v>37.785943457480606</v>
      </c>
      <c r="AX15" s="134">
        <f>(((Q15-$AN15)/($AM15-$AN15))*100)</f>
        <v>41.358446645128097</v>
      </c>
      <c r="AY15" s="134">
        <f>(((R15-$AN15)/($AM15-$AN15))*100)</f>
        <v>48.833036012735704</v>
      </c>
      <c r="AZ15" s="134">
        <f>(((S15-$AN15)/($AM15-$AN15))*100)</f>
        <v>16.231586443059996</v>
      </c>
      <c r="BA15" s="134">
        <f>(((T15-$AN15)/($AM15-$AN15))*100)</f>
        <v>54.194728280746574</v>
      </c>
      <c r="BB15" s="134">
        <f>(((U15-$AN15)/($AM15-$AN15))*100)</f>
        <v>23.564462068031489</v>
      </c>
      <c r="BC15" s="134">
        <f>(((V15-$AN15)/($AM15-$AN15))*100)</f>
        <v>36.129410869589435</v>
      </c>
      <c r="BD15" s="134">
        <f>(((W15-$AN15)/($AM15-$AN15))*100)</f>
        <v>47.048058328890882</v>
      </c>
      <c r="BE15" s="134">
        <f>(((X15-$AN15)/($AM15-$AN15))*100)</f>
        <v>40.897905706981824</v>
      </c>
      <c r="BF15" s="134">
        <f>(((Y15-$AN15)/($AM15-$AN15))*100)</f>
        <v>0</v>
      </c>
      <c r="BG15" s="134">
        <f>(((Z15-$AN15)/($AM15-$AN15))*100)</f>
        <v>11.155065168488582</v>
      </c>
      <c r="BH15" s="134">
        <f>(((AA15-$AN15)/($AM15-$AN15))*100)</f>
        <v>27.453064785116617</v>
      </c>
      <c r="BI15" s="134">
        <f>(((AB15-$AN15)/($AM15-$AN15))*100)</f>
        <v>9.7303642138604118</v>
      </c>
      <c r="BJ15" s="134">
        <f>(((AC15-$AN15)/($AM15-$AN15))*100)</f>
        <v>100</v>
      </c>
      <c r="BK15" s="134">
        <f>(((AD15-$AN15)/($AM15-$AN15))*100)</f>
        <v>48.723944357010922</v>
      </c>
      <c r="BL15" s="134">
        <f>(((AE15-$AN15)/($AM15-$AN15))*100)</f>
        <v>32.974355492722651</v>
      </c>
      <c r="BM15" s="134">
        <f>(((AF15-$AN15)/($AM15-$AN15))*100)</f>
        <v>1.3862888219694822</v>
      </c>
      <c r="BN15" s="134">
        <f>(((AG15-$AN15)/($AM15-$AN15))*100)</f>
        <v>31.248207471277201</v>
      </c>
      <c r="BO15" s="134">
        <f>(((AH15-$AN15)/($AM15-$AN15))*100)</f>
        <v>58.630807549520249</v>
      </c>
      <c r="BP15" s="129">
        <f t="shared" si="6"/>
        <v>100</v>
      </c>
      <c r="BQ15" s="129">
        <f t="shared" si="7"/>
        <v>0</v>
      </c>
      <c r="BR15" s="129">
        <f t="shared" si="8"/>
        <v>35.683324854754694</v>
      </c>
      <c r="BS15" s="129">
        <f t="shared" si="9"/>
        <v>22.084765996915301</v>
      </c>
      <c r="BT15" s="130">
        <f t="shared" si="10"/>
        <v>0.61890998349534609</v>
      </c>
      <c r="BU15" s="131">
        <f t="shared" si="11"/>
        <v>0.60461357905774571</v>
      </c>
      <c r="BV15" s="131">
        <f t="shared" si="11"/>
        <v>0.1816320032430917</v>
      </c>
      <c r="BW15" s="131">
        <f t="shared" si="11"/>
        <v>0.61152941152569451</v>
      </c>
      <c r="BX15" s="131">
        <f t="shared" si="11"/>
        <v>0.73537286154435277</v>
      </c>
      <c r="BY15" s="131">
        <f t="shared" si="11"/>
        <v>1.0177541586541474</v>
      </c>
      <c r="BZ15" s="131">
        <f t="shared" si="11"/>
        <v>0.62976572429134337</v>
      </c>
      <c r="CA15" s="131">
        <f t="shared" si="11"/>
        <v>0.68930744408546829</v>
      </c>
      <c r="CB15" s="131">
        <f t="shared" si="11"/>
        <v>0.81388393354559496</v>
      </c>
      <c r="CC15" s="131">
        <f t="shared" si="11"/>
        <v>0.27052644071766657</v>
      </c>
      <c r="CD15" s="131">
        <f t="shared" si="11"/>
        <v>0.90324547134577604</v>
      </c>
      <c r="CE15" s="131">
        <f t="shared" si="11"/>
        <v>0.39274103446719144</v>
      </c>
      <c r="CF15" s="131">
        <f t="shared" si="11"/>
        <v>0.60215684782649059</v>
      </c>
      <c r="CG15" s="131">
        <f t="shared" si="11"/>
        <v>0.78413430548151464</v>
      </c>
      <c r="CH15" s="131">
        <f t="shared" si="11"/>
        <v>0.68163176178303031</v>
      </c>
      <c r="CI15" s="131">
        <f t="shared" si="11"/>
        <v>0</v>
      </c>
      <c r="CJ15" s="131">
        <f t="shared" si="11"/>
        <v>0.18591775280814302</v>
      </c>
      <c r="CK15" s="131">
        <f t="shared" si="12"/>
        <v>0.45755107975194359</v>
      </c>
      <c r="CL15" s="131">
        <f t="shared" si="12"/>
        <v>0.16217273689767353</v>
      </c>
      <c r="CM15" s="131">
        <f t="shared" si="12"/>
        <v>1.6666666666666665</v>
      </c>
      <c r="CN15" s="131">
        <f t="shared" si="12"/>
        <v>0.81206573928351522</v>
      </c>
      <c r="CO15" s="131">
        <f t="shared" si="12"/>
        <v>0.54957259154537752</v>
      </c>
      <c r="CP15" s="131">
        <f t="shared" si="12"/>
        <v>2.3104813699491369E-2</v>
      </c>
      <c r="CQ15" s="131">
        <f t="shared" si="12"/>
        <v>0.52080345785462001</v>
      </c>
      <c r="CR15" s="131">
        <f t="shared" si="12"/>
        <v>0.97718012582533742</v>
      </c>
      <c r="CS15" s="131">
        <f t="shared" si="12"/>
        <v>1.6666666666666665</v>
      </c>
      <c r="CT15" s="132">
        <f t="shared" si="15"/>
        <v>4.0307571937183049</v>
      </c>
      <c r="CU15" s="132">
        <f t="shared" si="13"/>
        <v>1.2108800216206113</v>
      </c>
      <c r="CV15" s="132">
        <f t="shared" si="13"/>
        <v>4.0768627435046305</v>
      </c>
      <c r="CW15" s="132">
        <f t="shared" si="13"/>
        <v>4.9024857436290183</v>
      </c>
      <c r="CX15" s="132">
        <f t="shared" si="13"/>
        <v>6.7850277243609822</v>
      </c>
      <c r="CY15" s="132">
        <f t="shared" si="13"/>
        <v>4.1984381619422892</v>
      </c>
      <c r="CZ15" s="132">
        <f t="shared" si="13"/>
        <v>4.595382960569788</v>
      </c>
      <c r="DA15" s="132">
        <f t="shared" si="13"/>
        <v>5.4258928903039667</v>
      </c>
      <c r="DB15" s="132">
        <f t="shared" si="13"/>
        <v>1.8035096047844439</v>
      </c>
      <c r="DC15" s="132">
        <f t="shared" si="13"/>
        <v>6.0216364756385081</v>
      </c>
      <c r="DD15" s="132">
        <f t="shared" si="13"/>
        <v>2.6182735631146099</v>
      </c>
      <c r="DE15" s="132">
        <f t="shared" si="13"/>
        <v>4.0143789855099374</v>
      </c>
      <c r="DF15" s="132">
        <f t="shared" si="13"/>
        <v>5.2275620365434312</v>
      </c>
      <c r="DG15" s="132">
        <f t="shared" si="13"/>
        <v>4.5442117452202027</v>
      </c>
      <c r="DH15" s="132">
        <f t="shared" si="13"/>
        <v>0</v>
      </c>
      <c r="DI15" s="132">
        <f t="shared" si="13"/>
        <v>1.2394516853876201</v>
      </c>
      <c r="DJ15" s="132">
        <f t="shared" si="13"/>
        <v>3.0503405316796237</v>
      </c>
      <c r="DK15" s="132">
        <f t="shared" si="14"/>
        <v>1.0811515793178235</v>
      </c>
      <c r="DL15" s="132">
        <f t="shared" si="14"/>
        <v>11.111111111111111</v>
      </c>
      <c r="DM15" s="132">
        <f t="shared" si="14"/>
        <v>5.4137715952234355</v>
      </c>
      <c r="DN15" s="132">
        <f t="shared" si="14"/>
        <v>3.6638172769691835</v>
      </c>
      <c r="DO15" s="132">
        <f t="shared" si="14"/>
        <v>0.15403209132994247</v>
      </c>
      <c r="DP15" s="132">
        <f t="shared" si="14"/>
        <v>3.4720230523641331</v>
      </c>
      <c r="DQ15" s="132">
        <f t="shared" si="14"/>
        <v>6.5145341721689158</v>
      </c>
      <c r="DR15" s="58"/>
    </row>
    <row r="16" spans="1:122" ht="71" thickBot="1">
      <c r="A16" s="50">
        <v>2017</v>
      </c>
      <c r="B16" s="51" t="s">
        <v>137</v>
      </c>
      <c r="C16" s="52">
        <f>+VLOOKUP(B16,'Indice por pilar'!$B$9:$C$20,2,FALSE)</f>
        <v>0.15</v>
      </c>
      <c r="D16" s="52">
        <f>+VLOOKUP(B16,[1]PONDERACIÓN!$B$22:$E$33,4,FALSE)</f>
        <v>0.1111111111111111</v>
      </c>
      <c r="E16" s="72" t="s">
        <v>124</v>
      </c>
      <c r="F16" s="59" t="s">
        <v>159</v>
      </c>
      <c r="G16" s="60" t="s">
        <v>160</v>
      </c>
      <c r="H16" s="60" t="s">
        <v>157</v>
      </c>
      <c r="I16" s="60">
        <v>2015</v>
      </c>
      <c r="J16" s="60" t="s">
        <v>158</v>
      </c>
      <c r="K16" s="62">
        <v>25118.86</v>
      </c>
      <c r="L16" s="62">
        <v>8131.57</v>
      </c>
      <c r="M16" s="62">
        <v>20301.96</v>
      </c>
      <c r="N16" s="62">
        <v>14315.08</v>
      </c>
      <c r="O16" s="62">
        <v>34291.370000000003</v>
      </c>
      <c r="P16" s="62">
        <v>18971.990000000002</v>
      </c>
      <c r="Q16" s="62">
        <v>17902.88</v>
      </c>
      <c r="R16" s="62">
        <v>19765.09</v>
      </c>
      <c r="S16" s="62">
        <v>18709</v>
      </c>
      <c r="T16" s="62">
        <v>34799.839999999997</v>
      </c>
      <c r="U16" s="62">
        <v>18154.84</v>
      </c>
      <c r="V16" s="62">
        <v>21751.55</v>
      </c>
      <c r="W16" s="62">
        <v>21654.06</v>
      </c>
      <c r="X16" s="62">
        <v>17079.28</v>
      </c>
      <c r="Y16" s="62">
        <v>6755</v>
      </c>
      <c r="Z16" s="62">
        <v>9478.7199999999993</v>
      </c>
      <c r="AA16" s="62">
        <v>37565.99</v>
      </c>
      <c r="AB16" s="62">
        <v>13156.3</v>
      </c>
      <c r="AC16" s="62">
        <v>43211.97</v>
      </c>
      <c r="AD16" s="62">
        <v>38627.800000000003</v>
      </c>
      <c r="AE16" s="62">
        <v>20178.400000000001</v>
      </c>
      <c r="AF16" s="62">
        <v>8443.75</v>
      </c>
      <c r="AG16" s="62">
        <v>17198.400000000001</v>
      </c>
      <c r="AH16" s="63">
        <v>18509.830000000002</v>
      </c>
      <c r="AI16" s="124">
        <f t="shared" si="0"/>
        <v>21003.063750000001</v>
      </c>
      <c r="AJ16" s="124">
        <f t="shared" si="1"/>
        <v>9988.0039311752498</v>
      </c>
      <c r="AK16" s="125">
        <f t="shared" si="2"/>
        <v>0.47554985549073758</v>
      </c>
      <c r="AL16" s="125" t="str">
        <f>+HLOOKUP(AN16,$K16:$AH$68,53,FALSE)</f>
        <v>Morona Santiago</v>
      </c>
      <c r="AM16" s="133">
        <f t="shared" si="3"/>
        <v>43211.97</v>
      </c>
      <c r="AN16" s="133">
        <f t="shared" si="4"/>
        <v>6755</v>
      </c>
      <c r="AO16" s="124">
        <f t="shared" si="5"/>
        <v>6.3970347890451515</v>
      </c>
      <c r="AP16" s="133">
        <f t="shared" si="16"/>
        <v>43211.97</v>
      </c>
      <c r="AQ16" s="127">
        <f>+HLOOKUP($AQ$3,$K$3:$AH$67,14,FALSE)</f>
        <v>34799.839999999997</v>
      </c>
      <c r="AR16" s="134">
        <f>(((K16-$AN16)/($AM16-$AN16))*100)</f>
        <v>50.371328171266015</v>
      </c>
      <c r="AS16" s="134">
        <f>(((L16-$AN16)/($AM16-$AN16))*100)</f>
        <v>3.7758760533308164</v>
      </c>
      <c r="AT16" s="134">
        <f>(((M16-$AN16)/($AM16-$AN16))*100)</f>
        <v>37.15876552549485</v>
      </c>
      <c r="AU16" s="134">
        <f>(((N16-$AN16)/($AM16-$AN16))*100)</f>
        <v>20.73699487368259</v>
      </c>
      <c r="AV16" s="134">
        <f>(((O16-$AN16)/($AM16-$AN16))*100)</f>
        <v>75.531153576394317</v>
      </c>
      <c r="AW16" s="134">
        <f>(((P16-$AN16)/($AM16-$AN16))*100)</f>
        <v>33.510711394830679</v>
      </c>
      <c r="AX16" s="134">
        <f>(((Q16-$AN16)/($AM16-$AN16))*100)</f>
        <v>30.578185735128294</v>
      </c>
      <c r="AY16" s="134">
        <f>(((R16-$AN16)/($AM16-$AN16))*100)</f>
        <v>35.686152743906035</v>
      </c>
      <c r="AZ16" s="134">
        <f>(((S16-$AN16)/($AM16-$AN16))*100)</f>
        <v>32.789340419678318</v>
      </c>
      <c r="BA16" s="134">
        <f>(((T16-$AN16)/($AM16-$AN16))*100)</f>
        <v>76.925866302109029</v>
      </c>
      <c r="BB16" s="134">
        <f>(((U16-$AN16)/($AM16-$AN16))*100)</f>
        <v>31.269301864636585</v>
      </c>
      <c r="BC16" s="134">
        <f>(((V16-$AN16)/($AM16-$AN16))*100)</f>
        <v>41.134932497132922</v>
      </c>
      <c r="BD16" s="134">
        <f>(((W16-$AN16)/($AM16-$AN16))*100)</f>
        <v>40.867521354627115</v>
      </c>
      <c r="BE16" s="134">
        <f>(((X16-$AN16)/($AM16-$AN16))*100)</f>
        <v>28.319084114779692</v>
      </c>
      <c r="BF16" s="134">
        <f>(((Y16-$AN16)/($AM16-$AN16))*100)</f>
        <v>0</v>
      </c>
      <c r="BG16" s="134">
        <f>(((Z16-$AN16)/($AM16-$AN16))*100)</f>
        <v>7.4710542318793882</v>
      </c>
      <c r="BH16" s="134">
        <f>(((AA16-$AN16)/($AM16-$AN16))*100)</f>
        <v>84.513304314648195</v>
      </c>
      <c r="BI16" s="134">
        <f>(((AB16-$AN16)/($AM16-$AN16))*100)</f>
        <v>17.55850801643691</v>
      </c>
      <c r="BJ16" s="134">
        <f>(((AC16-$AN16)/($AM16-$AN16))*100)</f>
        <v>100</v>
      </c>
      <c r="BK16" s="134">
        <f>(((AD16-$AN16)/($AM16-$AN16))*100)</f>
        <v>87.425806368439297</v>
      </c>
      <c r="BL16" s="134">
        <f>(((AE16-$AN16)/($AM16-$AN16))*100)</f>
        <v>36.819845423248289</v>
      </c>
      <c r="BM16" s="134">
        <f>(((AF16-$AN16)/($AM16-$AN16))*100)</f>
        <v>4.6321732168087468</v>
      </c>
      <c r="BN16" s="134">
        <f>(((AG16-$AN16)/($AM16-$AN16))*100)</f>
        <v>28.645825475896658</v>
      </c>
      <c r="BO16" s="134">
        <f>(((AH16-$AN16)/($AM16-$AN16))*100)</f>
        <v>32.243025133465565</v>
      </c>
      <c r="BP16" s="129">
        <f t="shared" si="6"/>
        <v>100</v>
      </c>
      <c r="BQ16" s="129">
        <f t="shared" si="7"/>
        <v>0</v>
      </c>
      <c r="BR16" s="129">
        <f t="shared" si="8"/>
        <v>39.081864866992518</v>
      </c>
      <c r="BS16" s="129">
        <f t="shared" si="9"/>
        <v>27.396692405252686</v>
      </c>
      <c r="BT16" s="130">
        <f t="shared" si="10"/>
        <v>0.70100780754684988</v>
      </c>
      <c r="BU16" s="131">
        <f t="shared" si="11"/>
        <v>0.83952213618776683</v>
      </c>
      <c r="BV16" s="131">
        <f t="shared" si="11"/>
        <v>6.2931267555513606E-2</v>
      </c>
      <c r="BW16" s="131">
        <f t="shared" si="11"/>
        <v>0.61931275875824743</v>
      </c>
      <c r="BX16" s="131">
        <f t="shared" si="11"/>
        <v>0.34561658122804317</v>
      </c>
      <c r="BY16" s="131">
        <f t="shared" si="11"/>
        <v>1.2588525596065718</v>
      </c>
      <c r="BZ16" s="131">
        <f t="shared" si="11"/>
        <v>0.55851185658051128</v>
      </c>
      <c r="CA16" s="131">
        <f t="shared" si="11"/>
        <v>0.5096364289188049</v>
      </c>
      <c r="CB16" s="131">
        <f t="shared" si="11"/>
        <v>0.59476921239843383</v>
      </c>
      <c r="CC16" s="131">
        <f t="shared" si="11"/>
        <v>0.54648900699463854</v>
      </c>
      <c r="CD16" s="131">
        <f t="shared" si="11"/>
        <v>1.2820977717018172</v>
      </c>
      <c r="CE16" s="131">
        <f t="shared" si="11"/>
        <v>0.52115503107727634</v>
      </c>
      <c r="CF16" s="131">
        <f t="shared" si="11"/>
        <v>0.68558220828554861</v>
      </c>
      <c r="CG16" s="131">
        <f t="shared" si="11"/>
        <v>0.68112535591045187</v>
      </c>
      <c r="CH16" s="131">
        <f t="shared" si="11"/>
        <v>0.47198473524632817</v>
      </c>
      <c r="CI16" s="131">
        <f t="shared" si="11"/>
        <v>0</v>
      </c>
      <c r="CJ16" s="131">
        <f t="shared" si="11"/>
        <v>0.12451757053132313</v>
      </c>
      <c r="CK16" s="131">
        <f t="shared" si="12"/>
        <v>1.4085550719108031</v>
      </c>
      <c r="CL16" s="131">
        <f t="shared" si="12"/>
        <v>0.29264180027394848</v>
      </c>
      <c r="CM16" s="131">
        <f t="shared" si="12"/>
        <v>1.6666666666666665</v>
      </c>
      <c r="CN16" s="131">
        <f t="shared" si="12"/>
        <v>1.4570967728073214</v>
      </c>
      <c r="CO16" s="131">
        <f t="shared" si="12"/>
        <v>0.61366409038747138</v>
      </c>
      <c r="CP16" s="131">
        <f t="shared" si="12"/>
        <v>7.7202886946812446E-2</v>
      </c>
      <c r="CQ16" s="131">
        <f t="shared" si="12"/>
        <v>0.47743042459827761</v>
      </c>
      <c r="CR16" s="131">
        <f t="shared" si="12"/>
        <v>0.53738375222442603</v>
      </c>
      <c r="CS16" s="131">
        <f t="shared" si="12"/>
        <v>1.6666666666666665</v>
      </c>
      <c r="CT16" s="132">
        <f t="shared" si="15"/>
        <v>5.5968142412517787</v>
      </c>
      <c r="CU16" s="132">
        <f t="shared" si="15"/>
        <v>0.41954178370342404</v>
      </c>
      <c r="CV16" s="132">
        <f t="shared" si="15"/>
        <v>4.1287517250549834</v>
      </c>
      <c r="CW16" s="132">
        <f t="shared" si="13"/>
        <v>2.3041105415202878</v>
      </c>
      <c r="CX16" s="132">
        <f t="shared" si="13"/>
        <v>8.3923503973771467</v>
      </c>
      <c r="CY16" s="132">
        <f t="shared" si="13"/>
        <v>3.7234123772034087</v>
      </c>
      <c r="CZ16" s="132">
        <f t="shared" si="13"/>
        <v>3.3975761927920325</v>
      </c>
      <c r="DA16" s="132">
        <f t="shared" si="13"/>
        <v>3.9651280826562258</v>
      </c>
      <c r="DB16" s="132">
        <f t="shared" si="13"/>
        <v>3.6432600466309242</v>
      </c>
      <c r="DC16" s="132">
        <f t="shared" si="13"/>
        <v>8.5473184780121141</v>
      </c>
      <c r="DD16" s="132">
        <f t="shared" si="13"/>
        <v>3.4743668738485094</v>
      </c>
      <c r="DE16" s="132">
        <f t="shared" si="13"/>
        <v>4.5705480552369915</v>
      </c>
      <c r="DF16" s="132">
        <f t="shared" si="13"/>
        <v>4.5408357060696796</v>
      </c>
      <c r="DG16" s="132">
        <f t="shared" si="13"/>
        <v>3.1465649016421877</v>
      </c>
      <c r="DH16" s="132">
        <f t="shared" si="13"/>
        <v>0</v>
      </c>
      <c r="DI16" s="132">
        <f t="shared" si="13"/>
        <v>0.83011713687548749</v>
      </c>
      <c r="DJ16" s="132">
        <f t="shared" si="13"/>
        <v>9.3903671460720215</v>
      </c>
      <c r="DK16" s="132">
        <f t="shared" si="14"/>
        <v>1.9509453351596566</v>
      </c>
      <c r="DL16" s="132">
        <f t="shared" si="14"/>
        <v>11.111111111111111</v>
      </c>
      <c r="DM16" s="132">
        <f t="shared" si="14"/>
        <v>9.7139784853821443</v>
      </c>
      <c r="DN16" s="132">
        <f t="shared" si="14"/>
        <v>4.0910939359164766</v>
      </c>
      <c r="DO16" s="132">
        <f t="shared" si="14"/>
        <v>0.51468591297874966</v>
      </c>
      <c r="DP16" s="132">
        <f t="shared" si="14"/>
        <v>3.1828694973218505</v>
      </c>
      <c r="DQ16" s="132">
        <f t="shared" si="14"/>
        <v>3.5825583481628405</v>
      </c>
      <c r="DR16" s="58"/>
    </row>
    <row r="17" spans="1:122" ht="85" thickBot="1">
      <c r="A17" s="50">
        <v>2017</v>
      </c>
      <c r="B17" s="51" t="s">
        <v>137</v>
      </c>
      <c r="C17" s="52">
        <f>+VLOOKUP(B17,'Indice por pilar'!$B$9:$C$20,2,FALSE)</f>
        <v>0.15</v>
      </c>
      <c r="D17" s="52">
        <f>+VLOOKUP(B17,[1]PONDERACIÓN!$B$22:$E$33,4,FALSE)</f>
        <v>0.1111111111111111</v>
      </c>
      <c r="E17" s="53" t="s">
        <v>124</v>
      </c>
      <c r="F17" s="59" t="s">
        <v>161</v>
      </c>
      <c r="G17" s="73" t="s">
        <v>161</v>
      </c>
      <c r="H17" s="60" t="s">
        <v>127</v>
      </c>
      <c r="I17" s="73">
        <v>2014</v>
      </c>
      <c r="J17" s="60" t="s">
        <v>162</v>
      </c>
      <c r="K17" s="68">
        <v>0.39100000000000001</v>
      </c>
      <c r="L17" s="68">
        <v>0.38700000000000001</v>
      </c>
      <c r="M17" s="68">
        <v>0.376</v>
      </c>
      <c r="N17" s="68">
        <v>0.36299999999999999</v>
      </c>
      <c r="O17" s="68">
        <v>0.40300000000000002</v>
      </c>
      <c r="P17" s="68">
        <v>0.39500000000000002</v>
      </c>
      <c r="Q17" s="68">
        <v>0.33900000000000002</v>
      </c>
      <c r="R17" s="68">
        <v>0.36899999999999999</v>
      </c>
      <c r="S17" s="68">
        <v>0.29499999999999998</v>
      </c>
      <c r="T17" s="68">
        <v>0.38700000000000001</v>
      </c>
      <c r="U17" s="68">
        <v>0.40600000000000003</v>
      </c>
      <c r="V17" s="68">
        <v>0.4</v>
      </c>
      <c r="W17" s="68">
        <v>0.35199999999999998</v>
      </c>
      <c r="X17" s="68">
        <v>0.371</v>
      </c>
      <c r="Y17" s="68">
        <v>0.45200000000000001</v>
      </c>
      <c r="Z17" s="68">
        <v>0.48099999999999998</v>
      </c>
      <c r="AA17" s="68">
        <v>0.433</v>
      </c>
      <c r="AB17" s="68">
        <v>0.44900000000000001</v>
      </c>
      <c r="AC17" s="68">
        <v>0.40600000000000003</v>
      </c>
      <c r="AD17" s="68">
        <v>0.377</v>
      </c>
      <c r="AE17" s="68">
        <v>0.39200000000000002</v>
      </c>
      <c r="AF17" s="68">
        <v>0.36099999999999999</v>
      </c>
      <c r="AG17" s="68">
        <v>0.34</v>
      </c>
      <c r="AH17" s="69">
        <v>0.37</v>
      </c>
      <c r="AI17" s="124">
        <f t="shared" si="0"/>
        <v>0.38729166666666659</v>
      </c>
      <c r="AJ17" s="124">
        <f t="shared" si="1"/>
        <v>4.000812870303877E-2</v>
      </c>
      <c r="AK17" s="125">
        <f t="shared" si="2"/>
        <v>0.10330232263291346</v>
      </c>
      <c r="AL17" s="125" t="str">
        <f>+HLOOKUP(AN17,$K17:$AH$68,52,FALSE)</f>
        <v>Galápagos</v>
      </c>
      <c r="AM17" s="138">
        <f t="shared" si="3"/>
        <v>0.48099999999999998</v>
      </c>
      <c r="AN17" s="138">
        <f t="shared" si="4"/>
        <v>0.29499999999999998</v>
      </c>
      <c r="AO17" s="124">
        <f t="shared" si="5"/>
        <v>1.6305084745762712</v>
      </c>
      <c r="AP17" s="138">
        <f t="shared" si="16"/>
        <v>0.48099999999999998</v>
      </c>
      <c r="AQ17" s="127">
        <f>+HLOOKUP($AQ$3,$K$3:$AH$67,15,FALSE)</f>
        <v>0.38700000000000001</v>
      </c>
      <c r="AR17" s="128">
        <f>(((K17-$AN17)/($AM17-$AN17))*100)</f>
        <v>51.61290322580647</v>
      </c>
      <c r="AS17" s="128">
        <f>(((L17-$AN17)/($AM17-$AN17))*100)</f>
        <v>49.462365591397869</v>
      </c>
      <c r="AT17" s="128">
        <f>(((M17-$AN17)/($AM17-$AN17))*100)</f>
        <v>43.548387096774206</v>
      </c>
      <c r="AU17" s="128">
        <f>(((N17-$AN17)/($AM17-$AN17))*100)</f>
        <v>36.55913978494624</v>
      </c>
      <c r="AV17" s="128">
        <f>(((O17-$AN17)/($AM17-$AN17))*100)</f>
        <v>58.064516129032285</v>
      </c>
      <c r="AW17" s="128">
        <f>(((P17-$AN17)/($AM17-$AN17))*100)</f>
        <v>53.76344086021507</v>
      </c>
      <c r="AX17" s="128">
        <f>(((Q17-$AN17)/($AM17-$AN17))*100)</f>
        <v>23.655913978494645</v>
      </c>
      <c r="AY17" s="128">
        <f>(((R17-$AN17)/($AM17-$AN17))*100)</f>
        <v>39.784946236559144</v>
      </c>
      <c r="AZ17" s="128">
        <f>(((S17-$AN17)/($AM17-$AN17))*100)</f>
        <v>0</v>
      </c>
      <c r="BA17" s="128">
        <f>(((T17-$AN17)/($AM17-$AN17))*100)</f>
        <v>49.462365591397869</v>
      </c>
      <c r="BB17" s="128">
        <f>(((U17-$AN17)/($AM17-$AN17))*100)</f>
        <v>59.677419354838733</v>
      </c>
      <c r="BC17" s="128">
        <f>(((V17-$AN17)/($AM17-$AN17))*100)</f>
        <v>56.451612903225822</v>
      </c>
      <c r="BD17" s="128">
        <f>(((W17-$AN17)/($AM17-$AN17))*100)</f>
        <v>30.645161290322577</v>
      </c>
      <c r="BE17" s="128">
        <f>(((X17-$AN17)/($AM17-$AN17))*100)</f>
        <v>40.860215053763447</v>
      </c>
      <c r="BF17" s="128">
        <f>(((Y17-$AN17)/($AM17-$AN17))*100)</f>
        <v>84.408602150537646</v>
      </c>
      <c r="BG17" s="128">
        <f>(((Z17-$AN17)/($AM17-$AN17))*100)</f>
        <v>100</v>
      </c>
      <c r="BH17" s="128">
        <f>(((AA17-$AN17)/($AM17-$AN17))*100)</f>
        <v>74.193548387096783</v>
      </c>
      <c r="BI17" s="128">
        <f>(((AB17-$AN17)/($AM17-$AN17))*100)</f>
        <v>82.795698924731198</v>
      </c>
      <c r="BJ17" s="128">
        <f>(((AC17-$AN17)/($AM17-$AN17))*100)</f>
        <v>59.677419354838733</v>
      </c>
      <c r="BK17" s="128">
        <f>(((AD17-$AN17)/($AM17-$AN17))*100)</f>
        <v>44.086021505376358</v>
      </c>
      <c r="BL17" s="128">
        <f>(((AE17-$AN17)/($AM17-$AN17))*100)</f>
        <v>52.150537634408622</v>
      </c>
      <c r="BM17" s="128">
        <f>(((AF17-$AN17)/($AM17-$AN17))*100)</f>
        <v>35.483870967741936</v>
      </c>
      <c r="BN17" s="128">
        <f>(((AG17-$AN17)/($AM17-$AN17))*100)</f>
        <v>24.193548387096797</v>
      </c>
      <c r="BO17" s="128">
        <f>(((AH17-$AN17)/($AM17-$AN17))*100)</f>
        <v>40.322580645161295</v>
      </c>
      <c r="BP17" s="129">
        <f t="shared" si="6"/>
        <v>100</v>
      </c>
      <c r="BQ17" s="129">
        <f t="shared" si="7"/>
        <v>0</v>
      </c>
      <c r="BR17" s="129">
        <f t="shared" si="8"/>
        <v>49.619175627240161</v>
      </c>
      <c r="BS17" s="129">
        <f t="shared" si="9"/>
        <v>21.509746614536482</v>
      </c>
      <c r="BT17" s="130">
        <f t="shared" si="10"/>
        <v>0.43349665411869448</v>
      </c>
      <c r="BU17" s="131">
        <f t="shared" si="11"/>
        <v>0.86021505376344098</v>
      </c>
      <c r="BV17" s="131">
        <f t="shared" si="11"/>
        <v>0.82437275985663105</v>
      </c>
      <c r="BW17" s="131">
        <f t="shared" si="11"/>
        <v>0.72580645161290336</v>
      </c>
      <c r="BX17" s="131">
        <f t="shared" si="11"/>
        <v>0.60931899641577059</v>
      </c>
      <c r="BY17" s="131">
        <f t="shared" si="11"/>
        <v>0.96774193548387122</v>
      </c>
      <c r="BZ17" s="131">
        <f t="shared" si="11"/>
        <v>0.89605734767025103</v>
      </c>
      <c r="CA17" s="131">
        <f t="shared" si="11"/>
        <v>0.39426523297491073</v>
      </c>
      <c r="CB17" s="131">
        <f t="shared" si="11"/>
        <v>0.66308243727598559</v>
      </c>
      <c r="CC17" s="131">
        <f t="shared" si="11"/>
        <v>0</v>
      </c>
      <c r="CD17" s="131">
        <f t="shared" si="11"/>
        <v>0.82437275985663105</v>
      </c>
      <c r="CE17" s="131">
        <f t="shared" si="11"/>
        <v>0.99462365591397883</v>
      </c>
      <c r="CF17" s="131">
        <f t="shared" si="11"/>
        <v>0.94086021505376372</v>
      </c>
      <c r="CG17" s="131">
        <f t="shared" si="11"/>
        <v>0.51075268817204289</v>
      </c>
      <c r="CH17" s="131">
        <f t="shared" si="11"/>
        <v>0.68100358422939078</v>
      </c>
      <c r="CI17" s="131">
        <f t="shared" si="11"/>
        <v>1.4068100358422939</v>
      </c>
      <c r="CJ17" s="131">
        <f t="shared" si="11"/>
        <v>1.6666666666666665</v>
      </c>
      <c r="CK17" s="131">
        <f t="shared" si="12"/>
        <v>1.2365591397849462</v>
      </c>
      <c r="CL17" s="131">
        <f t="shared" si="12"/>
        <v>1.3799283154121866</v>
      </c>
      <c r="CM17" s="131">
        <f t="shared" si="12"/>
        <v>0.99462365591397883</v>
      </c>
      <c r="CN17" s="131">
        <f t="shared" si="12"/>
        <v>0.7347670250896059</v>
      </c>
      <c r="CO17" s="131">
        <f t="shared" si="12"/>
        <v>0.86917562724014363</v>
      </c>
      <c r="CP17" s="131">
        <f t="shared" si="12"/>
        <v>0.59139784946236551</v>
      </c>
      <c r="CQ17" s="131">
        <f t="shared" si="12"/>
        <v>0.40322580645161327</v>
      </c>
      <c r="CR17" s="131">
        <f t="shared" si="12"/>
        <v>0.67204301075268813</v>
      </c>
      <c r="CS17" s="131">
        <f t="shared" si="12"/>
        <v>1.6666666666666665</v>
      </c>
      <c r="CT17" s="132">
        <f t="shared" si="15"/>
        <v>5.7347670250896075</v>
      </c>
      <c r="CU17" s="132">
        <f t="shared" si="15"/>
        <v>5.4958183990442073</v>
      </c>
      <c r="CV17" s="132">
        <f t="shared" si="15"/>
        <v>4.8387096774193559</v>
      </c>
      <c r="CW17" s="132">
        <f t="shared" si="13"/>
        <v>4.0621266427718039</v>
      </c>
      <c r="CX17" s="132">
        <f t="shared" si="13"/>
        <v>6.4516129032258087</v>
      </c>
      <c r="CY17" s="132">
        <f t="shared" si="13"/>
        <v>5.9737156511350076</v>
      </c>
      <c r="CZ17" s="132">
        <f t="shared" si="13"/>
        <v>2.6284348864994049</v>
      </c>
      <c r="DA17" s="132">
        <f t="shared" si="13"/>
        <v>4.4205495818399045</v>
      </c>
      <c r="DB17" s="132">
        <f t="shared" si="13"/>
        <v>0</v>
      </c>
      <c r="DC17" s="132">
        <f t="shared" si="13"/>
        <v>5.4958183990442073</v>
      </c>
      <c r="DD17" s="132">
        <f t="shared" si="13"/>
        <v>6.630824372759859</v>
      </c>
      <c r="DE17" s="132">
        <f t="shared" si="13"/>
        <v>6.2724014336917575</v>
      </c>
      <c r="DF17" s="132">
        <f t="shared" si="13"/>
        <v>3.4050179211469529</v>
      </c>
      <c r="DG17" s="132">
        <f t="shared" si="13"/>
        <v>4.540023894862605</v>
      </c>
      <c r="DH17" s="132">
        <f t="shared" si="13"/>
        <v>9.3787335722819609</v>
      </c>
      <c r="DI17" s="132">
        <f t="shared" si="13"/>
        <v>11.111111111111111</v>
      </c>
      <c r="DJ17" s="132">
        <f t="shared" si="13"/>
        <v>8.2437275985663092</v>
      </c>
      <c r="DK17" s="132">
        <f t="shared" si="14"/>
        <v>9.1995221027479097</v>
      </c>
      <c r="DL17" s="132">
        <f t="shared" si="14"/>
        <v>6.630824372759859</v>
      </c>
      <c r="DM17" s="132">
        <f t="shared" si="14"/>
        <v>4.8984468339307066</v>
      </c>
      <c r="DN17" s="132">
        <f t="shared" si="14"/>
        <v>5.7945041816009573</v>
      </c>
      <c r="DO17" s="132">
        <f t="shared" si="14"/>
        <v>3.9426523297491038</v>
      </c>
      <c r="DP17" s="132">
        <f t="shared" si="14"/>
        <v>2.6881720430107552</v>
      </c>
      <c r="DQ17" s="132">
        <f t="shared" si="14"/>
        <v>4.4802867383512543</v>
      </c>
      <c r="DR17" s="58"/>
    </row>
    <row r="18" spans="1:122" ht="42">
      <c r="A18" s="50">
        <v>2017</v>
      </c>
      <c r="B18" s="51" t="s">
        <v>118</v>
      </c>
      <c r="C18" s="52">
        <f>+VLOOKUP(B18,'Indice por pilar'!$B$9:$C$20,2,FALSE)</f>
        <v>0.05</v>
      </c>
      <c r="D18" s="52">
        <f>+VLOOKUP(B18,[1]PONDERACIÓN!$B$22:$E$33,4,FALSE)</f>
        <v>0.2</v>
      </c>
      <c r="E18" s="53" t="s">
        <v>124</v>
      </c>
      <c r="F18" s="59" t="s">
        <v>164</v>
      </c>
      <c r="G18" s="60" t="s">
        <v>165</v>
      </c>
      <c r="H18" s="60" t="s">
        <v>122</v>
      </c>
      <c r="I18" s="60">
        <v>2014</v>
      </c>
      <c r="J18" s="60" t="s">
        <v>131</v>
      </c>
      <c r="K18" s="64">
        <v>0.35299999999999998</v>
      </c>
      <c r="L18" s="64">
        <v>0.32600000000000001</v>
      </c>
      <c r="M18" s="64">
        <v>0.28999999999999998</v>
      </c>
      <c r="N18" s="64">
        <v>0.27800000000000002</v>
      </c>
      <c r="O18" s="64">
        <v>0.379</v>
      </c>
      <c r="P18" s="64">
        <v>0.29499999999999998</v>
      </c>
      <c r="Q18" s="64">
        <v>0.27800000000000002</v>
      </c>
      <c r="R18" s="74">
        <v>0.27400000000000002</v>
      </c>
      <c r="S18" s="64">
        <v>0.33900000000000002</v>
      </c>
      <c r="T18" s="64">
        <v>0.30199999999999999</v>
      </c>
      <c r="U18" s="64">
        <v>0.36799999999999999</v>
      </c>
      <c r="V18" s="64">
        <v>0.46300000000000002</v>
      </c>
      <c r="W18" s="64">
        <v>0.23699999999999999</v>
      </c>
      <c r="X18" s="64">
        <v>0.313</v>
      </c>
      <c r="Y18" s="64">
        <v>0.253</v>
      </c>
      <c r="Z18" s="64">
        <v>0.23699999999999999</v>
      </c>
      <c r="AA18" s="64">
        <v>0.20200000000000001</v>
      </c>
      <c r="AB18" s="64">
        <v>0.30599999999999999</v>
      </c>
      <c r="AC18" s="64">
        <v>0.41499999999999998</v>
      </c>
      <c r="AD18" s="64">
        <v>0.192</v>
      </c>
      <c r="AE18" s="64">
        <v>0.34899999999999998</v>
      </c>
      <c r="AF18" s="64">
        <v>0.29099999999999998</v>
      </c>
      <c r="AG18" s="64">
        <v>0.17699999999999999</v>
      </c>
      <c r="AH18" s="65">
        <v>0.27800000000000002</v>
      </c>
      <c r="AI18" s="124">
        <f t="shared" si="0"/>
        <v>0.29979166666666668</v>
      </c>
      <c r="AJ18" s="124">
        <f t="shared" si="1"/>
        <v>6.8255262046976573E-2</v>
      </c>
      <c r="AK18" s="125">
        <f t="shared" si="2"/>
        <v>0.22767564824564804</v>
      </c>
      <c r="AL18" s="125" t="str">
        <f>+HLOOKUP(AN18,$K18:$AH$68,51,FALSE)</f>
        <v>Santa Elena</v>
      </c>
      <c r="AM18" s="135">
        <f t="shared" si="3"/>
        <v>0.46300000000000002</v>
      </c>
      <c r="AN18" s="135">
        <f t="shared" si="4"/>
        <v>0.17699999999999999</v>
      </c>
      <c r="AO18" s="124">
        <f t="shared" si="5"/>
        <v>2.6158192090395485</v>
      </c>
      <c r="AP18" s="135">
        <f t="shared" si="16"/>
        <v>0.46300000000000002</v>
      </c>
      <c r="AQ18" s="139">
        <f>+HLOOKUP($AQ$3,$K$3:$AH$67,16,FALSE)</f>
        <v>0.30199999999999999</v>
      </c>
      <c r="AR18" s="128">
        <f>(((K18-$AN18)/($AM18-$AN18))*100)</f>
        <v>61.538461538461533</v>
      </c>
      <c r="AS18" s="128">
        <f>(((L18-$AN18)/($AM18-$AN18))*100)</f>
        <v>52.097902097902107</v>
      </c>
      <c r="AT18" s="128">
        <f>(((M18-$AN18)/($AM18-$AN18))*100)</f>
        <v>39.510489510489506</v>
      </c>
      <c r="AU18" s="128">
        <f>(((N18-$AN18)/($AM18-$AN18))*100)</f>
        <v>35.31468531468532</v>
      </c>
      <c r="AV18" s="128">
        <f>(((O18-$AN18)/($AM18-$AN18))*100)</f>
        <v>70.629370629370626</v>
      </c>
      <c r="AW18" s="128">
        <f>(((P18-$AN18)/($AM18-$AN18))*100)</f>
        <v>41.258741258741253</v>
      </c>
      <c r="AX18" s="128">
        <f>(((Q18-$AN18)/($AM18-$AN18))*100)</f>
        <v>35.31468531468532</v>
      </c>
      <c r="AY18" s="128">
        <f>(((R18-$AN18)/($AM18-$AN18))*100)</f>
        <v>33.91608391608392</v>
      </c>
      <c r="AZ18" s="128">
        <f>(((S18-$AN18)/($AM18-$AN18))*100)</f>
        <v>56.643356643356647</v>
      </c>
      <c r="BA18" s="128">
        <f>(((T18-$AN18)/($AM18-$AN18))*100)</f>
        <v>43.7062937062937</v>
      </c>
      <c r="BB18" s="128">
        <f>(((U18-$AN18)/($AM18-$AN18))*100)</f>
        <v>66.783216783216787</v>
      </c>
      <c r="BC18" s="128">
        <f>(((V18-$AN18)/($AM18-$AN18))*100)</f>
        <v>100</v>
      </c>
      <c r="BD18" s="128">
        <f>(((W18-$AN18)/($AM18-$AN18))*100)</f>
        <v>20.979020979020977</v>
      </c>
      <c r="BE18" s="128">
        <f>(((X18-$AN18)/($AM18-$AN18))*100)</f>
        <v>47.552447552447553</v>
      </c>
      <c r="BF18" s="128">
        <f>(((Y18-$AN18)/($AM18-$AN18))*100)</f>
        <v>26.573426573426573</v>
      </c>
      <c r="BG18" s="128">
        <f>(((Z18-$AN18)/($AM18-$AN18))*100)</f>
        <v>20.979020979020977</v>
      </c>
      <c r="BH18" s="128">
        <f>(((AA18-$AN18)/($AM18-$AN18))*100)</f>
        <v>8.741258741258747</v>
      </c>
      <c r="BI18" s="128">
        <f>(((AB18-$AN18)/($AM18-$AN18))*100)</f>
        <v>45.1048951048951</v>
      </c>
      <c r="BJ18" s="128">
        <f>(((AC18-$AN18)/($AM18-$AN18))*100)</f>
        <v>83.216783216783213</v>
      </c>
      <c r="BK18" s="128">
        <f>(((AD18-$AN18)/($AM18-$AN18))*100)</f>
        <v>5.2447552447552486</v>
      </c>
      <c r="BL18" s="128">
        <f>(((AE18-$AN18)/($AM18-$AN18))*100)</f>
        <v>60.139860139860126</v>
      </c>
      <c r="BM18" s="128">
        <f>(((AF18-$AN18)/($AM18-$AN18))*100)</f>
        <v>39.860139860139853</v>
      </c>
      <c r="BN18" s="128">
        <f>(((AG18-$AN18)/($AM18-$AN18))*100)</f>
        <v>0</v>
      </c>
      <c r="BO18" s="128">
        <f>(((AH18-$AN18)/($AM18-$AN18))*100)</f>
        <v>35.31468531468532</v>
      </c>
      <c r="BP18" s="129">
        <f t="shared" si="6"/>
        <v>100</v>
      </c>
      <c r="BQ18" s="129">
        <f t="shared" si="7"/>
        <v>0</v>
      </c>
      <c r="BR18" s="129">
        <f t="shared" si="8"/>
        <v>42.934149184149192</v>
      </c>
      <c r="BS18" s="129">
        <f t="shared" si="9"/>
        <v>23.865476240201602</v>
      </c>
      <c r="BT18" s="130">
        <f t="shared" si="10"/>
        <v>0.55586233088817028</v>
      </c>
      <c r="BU18" s="131">
        <f t="shared" si="11"/>
        <v>0.61538461538461542</v>
      </c>
      <c r="BV18" s="131">
        <f t="shared" si="11"/>
        <v>0.52097902097902116</v>
      </c>
      <c r="BW18" s="131">
        <f t="shared" si="11"/>
        <v>0.3951048951048951</v>
      </c>
      <c r="BX18" s="131">
        <f t="shared" si="11"/>
        <v>0.35314685314685323</v>
      </c>
      <c r="BY18" s="131">
        <f t="shared" si="11"/>
        <v>0.70629370629370636</v>
      </c>
      <c r="BZ18" s="131">
        <f t="shared" si="11"/>
        <v>0.41258741258741261</v>
      </c>
      <c r="CA18" s="131">
        <f t="shared" si="11"/>
        <v>0.35314685314685323</v>
      </c>
      <c r="CB18" s="131">
        <f t="shared" si="11"/>
        <v>0.33916083916083922</v>
      </c>
      <c r="CC18" s="131">
        <f t="shared" si="11"/>
        <v>0.56643356643356657</v>
      </c>
      <c r="CD18" s="131">
        <f t="shared" si="11"/>
        <v>0.43706293706293703</v>
      </c>
      <c r="CE18" s="131">
        <f t="shared" si="11"/>
        <v>0.66783216783216792</v>
      </c>
      <c r="CF18" s="131">
        <f t="shared" si="11"/>
        <v>1</v>
      </c>
      <c r="CG18" s="131">
        <f t="shared" si="11"/>
        <v>0.20979020979020979</v>
      </c>
      <c r="CH18" s="131">
        <f t="shared" si="11"/>
        <v>0.47552447552447563</v>
      </c>
      <c r="CI18" s="131">
        <f t="shared" si="11"/>
        <v>0.26573426573426578</v>
      </c>
      <c r="CJ18" s="131">
        <f t="shared" si="11"/>
        <v>0.20979020979020979</v>
      </c>
      <c r="CK18" s="131">
        <f t="shared" si="12"/>
        <v>8.7412587412587478E-2</v>
      </c>
      <c r="CL18" s="131">
        <f t="shared" si="12"/>
        <v>0.45104895104895104</v>
      </c>
      <c r="CM18" s="131">
        <f t="shared" si="12"/>
        <v>0.83216783216783219</v>
      </c>
      <c r="CN18" s="131">
        <f t="shared" si="12"/>
        <v>5.2447552447552497E-2</v>
      </c>
      <c r="CO18" s="131">
        <f t="shared" si="12"/>
        <v>0.60139860139860135</v>
      </c>
      <c r="CP18" s="131">
        <f t="shared" si="12"/>
        <v>0.39860139860139854</v>
      </c>
      <c r="CQ18" s="131">
        <f t="shared" si="12"/>
        <v>0</v>
      </c>
      <c r="CR18" s="131">
        <f t="shared" si="12"/>
        <v>0.35314685314685323</v>
      </c>
      <c r="CS18" s="131">
        <f t="shared" si="12"/>
        <v>1</v>
      </c>
      <c r="CT18" s="132">
        <f t="shared" si="15"/>
        <v>12.307692307692307</v>
      </c>
      <c r="CU18" s="132">
        <f t="shared" si="15"/>
        <v>10.419580419580422</v>
      </c>
      <c r="CV18" s="132">
        <f t="shared" si="15"/>
        <v>7.9020979020979016</v>
      </c>
      <c r="CW18" s="132">
        <f t="shared" si="13"/>
        <v>7.0629370629370642</v>
      </c>
      <c r="CX18" s="132">
        <f t="shared" si="13"/>
        <v>14.125874125874127</v>
      </c>
      <c r="CY18" s="132">
        <f t="shared" si="13"/>
        <v>8.2517482517482517</v>
      </c>
      <c r="CZ18" s="132">
        <f t="shared" si="13"/>
        <v>7.0629370629370642</v>
      </c>
      <c r="DA18" s="132">
        <f t="shared" si="13"/>
        <v>6.7832167832167842</v>
      </c>
      <c r="DB18" s="132">
        <f t="shared" si="13"/>
        <v>11.32867132867133</v>
      </c>
      <c r="DC18" s="132">
        <f t="shared" si="13"/>
        <v>8.7412587412587399</v>
      </c>
      <c r="DD18" s="132">
        <f t="shared" si="13"/>
        <v>13.356643356643358</v>
      </c>
      <c r="DE18" s="132">
        <f t="shared" si="13"/>
        <v>20</v>
      </c>
      <c r="DF18" s="132">
        <f t="shared" si="13"/>
        <v>4.1958041958041958</v>
      </c>
      <c r="DG18" s="132">
        <f t="shared" si="13"/>
        <v>9.5104895104895117</v>
      </c>
      <c r="DH18" s="132">
        <f t="shared" si="13"/>
        <v>5.314685314685315</v>
      </c>
      <c r="DI18" s="132">
        <f t="shared" si="13"/>
        <v>4.1958041958041958</v>
      </c>
      <c r="DJ18" s="132">
        <f t="shared" si="13"/>
        <v>1.7482517482517494</v>
      </c>
      <c r="DK18" s="132">
        <f t="shared" si="14"/>
        <v>9.0209790209790199</v>
      </c>
      <c r="DL18" s="132">
        <f t="shared" si="14"/>
        <v>16.643356643356643</v>
      </c>
      <c r="DM18" s="132">
        <f t="shared" si="14"/>
        <v>1.0489510489510498</v>
      </c>
      <c r="DN18" s="132">
        <f t="shared" si="14"/>
        <v>12.027972027972027</v>
      </c>
      <c r="DO18" s="132">
        <f t="shared" si="14"/>
        <v>7.9720279720279708</v>
      </c>
      <c r="DP18" s="132">
        <f t="shared" si="14"/>
        <v>0</v>
      </c>
      <c r="DQ18" s="132">
        <f t="shared" si="14"/>
        <v>7.0629370629370642</v>
      </c>
      <c r="DR18" s="58"/>
    </row>
    <row r="19" spans="1:122" ht="150">
      <c r="A19" s="50">
        <v>2017</v>
      </c>
      <c r="B19" s="51" t="s">
        <v>163</v>
      </c>
      <c r="C19" s="52">
        <f>+VLOOKUP(B19,'Indice por pilar'!$B$9:$C$20,2,FALSE)</f>
        <v>0.1</v>
      </c>
      <c r="D19" s="52">
        <f>+VLOOKUP(B19,[1]PONDERACIÓN!$B$22:$E$33,4,FALSE)</f>
        <v>0.2</v>
      </c>
      <c r="E19" s="53" t="s">
        <v>124</v>
      </c>
      <c r="F19" s="59" t="s">
        <v>172</v>
      </c>
      <c r="G19" s="60" t="s">
        <v>173</v>
      </c>
      <c r="H19" s="70" t="s">
        <v>370</v>
      </c>
      <c r="I19" s="60">
        <v>2016</v>
      </c>
      <c r="J19" s="60" t="s">
        <v>131</v>
      </c>
      <c r="K19" s="75">
        <v>0.98740000000000006</v>
      </c>
      <c r="L19" s="75">
        <v>0.97489999999999999</v>
      </c>
      <c r="M19" s="75">
        <v>0.96909999999999996</v>
      </c>
      <c r="N19" s="75">
        <v>0.96409999999999996</v>
      </c>
      <c r="O19" s="75">
        <v>0.996</v>
      </c>
      <c r="P19" s="75">
        <v>0.98780000000000001</v>
      </c>
      <c r="Q19" s="75">
        <v>0.97160000000000002</v>
      </c>
      <c r="R19" s="75">
        <v>0.96679999999999999</v>
      </c>
      <c r="S19" s="75">
        <v>0.98040000000000005</v>
      </c>
      <c r="T19" s="75">
        <v>0.96</v>
      </c>
      <c r="U19" s="75">
        <v>0.96879999999999999</v>
      </c>
      <c r="V19" s="75">
        <v>0.98729999999999996</v>
      </c>
      <c r="W19" s="75">
        <v>0.95789999999999997</v>
      </c>
      <c r="X19" s="75">
        <v>0.98440000000000005</v>
      </c>
      <c r="Y19" s="75">
        <v>0.98429999999999995</v>
      </c>
      <c r="Z19" s="75">
        <v>0.98350000000000004</v>
      </c>
      <c r="AA19" s="75">
        <v>0.97899999999999998</v>
      </c>
      <c r="AB19" s="75">
        <v>0.98409999999999997</v>
      </c>
      <c r="AC19" s="75">
        <v>0.95669999999999999</v>
      </c>
      <c r="AD19" s="75">
        <v>0.95099999999999996</v>
      </c>
      <c r="AE19" s="75">
        <v>0.98299999999999998</v>
      </c>
      <c r="AF19" s="75">
        <v>0.96809999999999996</v>
      </c>
      <c r="AG19" s="75">
        <v>0.98919999999999997</v>
      </c>
      <c r="AH19" s="75">
        <v>0.99139999999999995</v>
      </c>
      <c r="AI19" s="124">
        <f t="shared" si="0"/>
        <v>0.97611666666666685</v>
      </c>
      <c r="AJ19" s="124">
        <f t="shared" si="1"/>
        <v>1.2399883122403839E-2</v>
      </c>
      <c r="AK19" s="125">
        <f>+AJ19/AI19</f>
        <v>1.2703279788007414E-2</v>
      </c>
      <c r="AL19" s="125" t="str">
        <f>+HLOOKUP(AN19,$K19:$AH$68,50,FALSE)</f>
        <v>Sucumbíos</v>
      </c>
      <c r="AM19" s="135">
        <f t="shared" si="3"/>
        <v>0.996</v>
      </c>
      <c r="AN19" s="135">
        <f t="shared" si="4"/>
        <v>0.95099999999999996</v>
      </c>
      <c r="AO19" s="124">
        <f>+AM19/AN19</f>
        <v>1.0473186119873819</v>
      </c>
      <c r="AP19" s="135">
        <f t="shared" si="16"/>
        <v>0.996</v>
      </c>
      <c r="AQ19" s="139">
        <f>+HLOOKUP($AQ$3,$K$3:$AH$67,17,FALSE)</f>
        <v>0.96</v>
      </c>
      <c r="AR19" s="134">
        <f>(((K19-$AN19)/($AM19-$AN19))*100)</f>
        <v>80.888888888889028</v>
      </c>
      <c r="AS19" s="134">
        <f>(((L19-$AN19)/($AM19-$AN19))*100)</f>
        <v>53.111111111111128</v>
      </c>
      <c r="AT19" s="134">
        <f>(((M19-$AN19)/($AM19-$AN19))*100)</f>
        <v>40.2222222222222</v>
      </c>
      <c r="AU19" s="134">
        <f>(((N19-$AN19)/($AM19-$AN19))*100)</f>
        <v>29.111111111111086</v>
      </c>
      <c r="AV19" s="134">
        <f>(((O19-$AN19)/($AM19-$AN19))*100)</f>
        <v>100</v>
      </c>
      <c r="AW19" s="134">
        <f>(((P19-$AN19)/($AM19-$AN19))*100)</f>
        <v>81.777777777777828</v>
      </c>
      <c r="AX19" s="134">
        <f>(((Q19-$AN19)/($AM19-$AN19))*100)</f>
        <v>45.777777777777878</v>
      </c>
      <c r="AY19" s="134">
        <f>(((R19-$AN19)/($AM19-$AN19))*100)</f>
        <v>35.111111111111157</v>
      </c>
      <c r="AZ19" s="134">
        <f>(((S19-$AN19)/($AM19-$AN19))*100)</f>
        <v>65.333333333333471</v>
      </c>
      <c r="BA19" s="134">
        <f>(((T19-$AN19)/($AM19-$AN19))*100)</f>
        <v>20</v>
      </c>
      <c r="BB19" s="134">
        <f>(((U19-$AN19)/($AM19-$AN19))*100)</f>
        <v>39.555555555555607</v>
      </c>
      <c r="BC19" s="134">
        <f>(((V19-$AN19)/($AM19-$AN19))*100)</f>
        <v>80.6666666666666</v>
      </c>
      <c r="BD19" s="134">
        <f>(((W19-$AN19)/($AM19-$AN19))*100)</f>
        <v>15.333333333333357</v>
      </c>
      <c r="BE19" s="134">
        <f>(((X19-$AN19)/($AM19-$AN19))*100)</f>
        <v>74.222222222222371</v>
      </c>
      <c r="BF19" s="134">
        <f>(((Y19-$AN19)/($AM19-$AN19))*100)</f>
        <v>73.999999999999915</v>
      </c>
      <c r="BG19" s="134">
        <f>(((Z19-$AN19)/($AM19-$AN19))*100)</f>
        <v>72.222222222222342</v>
      </c>
      <c r="BH19" s="134">
        <f>(((AA19-$AN19)/($AM19-$AN19))*100)</f>
        <v>62.222222222222221</v>
      </c>
      <c r="BI19" s="134">
        <f>(((AB19-$AN19)/($AM19-$AN19))*100)</f>
        <v>73.555555555555529</v>
      </c>
      <c r="BJ19" s="134">
        <f>(((AC19-$AN19)/($AM19-$AN19))*100)</f>
        <v>12.666666666666741</v>
      </c>
      <c r="BK19" s="134">
        <f>(((AD19-$AN19)/($AM19-$AN19))*100)</f>
        <v>0</v>
      </c>
      <c r="BL19" s="134">
        <f>(((AE19-$AN19)/($AM19-$AN19))*100)</f>
        <v>71.111111111111114</v>
      </c>
      <c r="BM19" s="134">
        <f>(((AF19-$AN19)/($AM19-$AN19))*100)</f>
        <v>37.999999999999972</v>
      </c>
      <c r="BN19" s="134">
        <f>(((AG19-$AN19)/($AM19-$AN19))*100)</f>
        <v>84.888888888888829</v>
      </c>
      <c r="BO19" s="134">
        <f>(((AH19-$AN19)/($AM19-$AN19))*100)</f>
        <v>89.777777777777672</v>
      </c>
      <c r="BP19" s="129">
        <f>+MAX(AR19:BO19)</f>
        <v>100</v>
      </c>
      <c r="BQ19" s="129">
        <f>+MIN(AR19:BO19)</f>
        <v>0</v>
      </c>
      <c r="BR19" s="129">
        <f>+AVERAGE(AR19:BO19)</f>
        <v>55.814814814814838</v>
      </c>
      <c r="BS19" s="129">
        <f>STDEVA(AR19:BO19)</f>
        <v>27.555295827564059</v>
      </c>
      <c r="BT19" s="130">
        <f>+BS19/BR19</f>
        <v>0.49369143154892453</v>
      </c>
      <c r="BU19" s="131">
        <f t="shared" ref="BU19:CD22" si="17">+AR19*$C19*$D19</f>
        <v>1.6177777777777806</v>
      </c>
      <c r="BV19" s="131">
        <f t="shared" si="17"/>
        <v>1.0622222222222228</v>
      </c>
      <c r="BW19" s="131">
        <f t="shared" si="17"/>
        <v>0.80444444444444407</v>
      </c>
      <c r="BX19" s="131">
        <f t="shared" si="17"/>
        <v>0.58222222222222175</v>
      </c>
      <c r="BY19" s="131">
        <f t="shared" si="17"/>
        <v>2</v>
      </c>
      <c r="BZ19" s="131">
        <f t="shared" si="17"/>
        <v>1.6355555555555565</v>
      </c>
      <c r="CA19" s="131">
        <f t="shared" si="17"/>
        <v>0.91555555555555768</v>
      </c>
      <c r="CB19" s="131">
        <f t="shared" si="17"/>
        <v>0.70222222222222319</v>
      </c>
      <c r="CC19" s="131">
        <f t="shared" si="17"/>
        <v>1.3066666666666695</v>
      </c>
      <c r="CD19" s="131">
        <f t="shared" si="17"/>
        <v>0.4</v>
      </c>
      <c r="CE19" s="131">
        <f t="shared" ref="CE19:CN22" si="18">+BB19*$C19*$D19</f>
        <v>0.79111111111111221</v>
      </c>
      <c r="CF19" s="131">
        <f t="shared" si="18"/>
        <v>1.6133333333333324</v>
      </c>
      <c r="CG19" s="131">
        <f t="shared" si="18"/>
        <v>0.3066666666666672</v>
      </c>
      <c r="CH19" s="131">
        <f t="shared" si="18"/>
        <v>1.4844444444444476</v>
      </c>
      <c r="CI19" s="131">
        <f t="shared" si="18"/>
        <v>1.4799999999999984</v>
      </c>
      <c r="CJ19" s="131">
        <f t="shared" si="18"/>
        <v>1.4444444444444471</v>
      </c>
      <c r="CK19" s="131">
        <f t="shared" si="18"/>
        <v>1.2444444444444445</v>
      </c>
      <c r="CL19" s="131">
        <f t="shared" si="18"/>
        <v>1.4711111111111108</v>
      </c>
      <c r="CM19" s="131">
        <f t="shared" si="18"/>
        <v>0.25333333333333485</v>
      </c>
      <c r="CN19" s="131">
        <f t="shared" si="18"/>
        <v>0</v>
      </c>
      <c r="CO19" s="131">
        <f t="shared" si="12"/>
        <v>1.4222222222222225</v>
      </c>
      <c r="CP19" s="131">
        <f t="shared" si="12"/>
        <v>0.75999999999999945</v>
      </c>
      <c r="CQ19" s="131">
        <f t="shared" si="12"/>
        <v>1.6977777777777767</v>
      </c>
      <c r="CR19" s="131">
        <f t="shared" si="12"/>
        <v>1.7955555555555536</v>
      </c>
      <c r="CS19" s="131">
        <f t="shared" si="12"/>
        <v>2</v>
      </c>
      <c r="CT19" s="132">
        <f t="shared" ref="CT19:DC22" si="19">+AR19*$D19</f>
        <v>16.177777777777806</v>
      </c>
      <c r="CU19" s="132">
        <f t="shared" si="19"/>
        <v>10.622222222222227</v>
      </c>
      <c r="CV19" s="132">
        <f t="shared" si="19"/>
        <v>8.0444444444444407</v>
      </c>
      <c r="CW19" s="132">
        <f t="shared" si="19"/>
        <v>5.8222222222222175</v>
      </c>
      <c r="CX19" s="132">
        <f t="shared" si="19"/>
        <v>20</v>
      </c>
      <c r="CY19" s="132">
        <f t="shared" si="19"/>
        <v>16.355555555555565</v>
      </c>
      <c r="CZ19" s="132">
        <f t="shared" si="19"/>
        <v>9.1555555555555763</v>
      </c>
      <c r="DA19" s="132">
        <f t="shared" si="19"/>
        <v>7.0222222222222319</v>
      </c>
      <c r="DB19" s="132">
        <f t="shared" si="19"/>
        <v>13.066666666666695</v>
      </c>
      <c r="DC19" s="132">
        <f t="shared" si="19"/>
        <v>4</v>
      </c>
      <c r="DD19" s="132">
        <f t="shared" ref="DD19:DM22" si="20">+BB19*$D19</f>
        <v>7.9111111111111221</v>
      </c>
      <c r="DE19" s="132">
        <f t="shared" si="20"/>
        <v>16.133333333333322</v>
      </c>
      <c r="DF19" s="132">
        <f t="shared" si="20"/>
        <v>3.0666666666666718</v>
      </c>
      <c r="DG19" s="132">
        <f t="shared" si="20"/>
        <v>14.844444444444475</v>
      </c>
      <c r="DH19" s="132">
        <f t="shared" si="20"/>
        <v>14.799999999999983</v>
      </c>
      <c r="DI19" s="132">
        <f t="shared" si="20"/>
        <v>14.44444444444447</v>
      </c>
      <c r="DJ19" s="132">
        <f t="shared" si="20"/>
        <v>12.444444444444445</v>
      </c>
      <c r="DK19" s="132">
        <f t="shared" si="20"/>
        <v>14.711111111111107</v>
      </c>
      <c r="DL19" s="132">
        <f t="shared" si="20"/>
        <v>2.5333333333333483</v>
      </c>
      <c r="DM19" s="132">
        <f t="shared" si="20"/>
        <v>0</v>
      </c>
      <c r="DN19" s="132">
        <f t="shared" ref="DN19:DQ22" si="21">+BL19*$D19</f>
        <v>14.222222222222223</v>
      </c>
      <c r="DO19" s="132">
        <f t="shared" si="21"/>
        <v>7.5999999999999943</v>
      </c>
      <c r="DP19" s="132">
        <f t="shared" si="21"/>
        <v>16.977777777777767</v>
      </c>
      <c r="DQ19" s="132">
        <f t="shared" si="21"/>
        <v>17.955555555555534</v>
      </c>
      <c r="DR19" s="58"/>
    </row>
    <row r="20" spans="1:122" ht="150">
      <c r="A20" s="50">
        <v>2017</v>
      </c>
      <c r="B20" s="51" t="s">
        <v>163</v>
      </c>
      <c r="C20" s="52">
        <f>+VLOOKUP(B20,'Indice por pilar'!$B$9:$C$20,2,FALSE)</f>
        <v>0.1</v>
      </c>
      <c r="D20" s="52">
        <f>+VLOOKUP(B20,[1]PONDERACIÓN!$B$22:$E$33,4,FALSE)</f>
        <v>0.2</v>
      </c>
      <c r="E20" s="53" t="s">
        <v>124</v>
      </c>
      <c r="F20" s="59" t="s">
        <v>170</v>
      </c>
      <c r="G20" s="60" t="s">
        <v>171</v>
      </c>
      <c r="H20" s="70" t="s">
        <v>370</v>
      </c>
      <c r="I20" s="60">
        <v>2016</v>
      </c>
      <c r="J20" s="60" t="s">
        <v>131</v>
      </c>
      <c r="K20" s="75">
        <v>0.95889999999999997</v>
      </c>
      <c r="L20" s="75">
        <v>0.96779999999999999</v>
      </c>
      <c r="M20" s="75">
        <v>0.92430000000000001</v>
      </c>
      <c r="N20" s="75">
        <v>0.92659999999999998</v>
      </c>
      <c r="O20" s="75">
        <v>0.95660000000000001</v>
      </c>
      <c r="P20" s="75">
        <v>0.94210000000000005</v>
      </c>
      <c r="Q20" s="75">
        <v>0.95609999999999995</v>
      </c>
      <c r="R20" s="75">
        <v>0.87929999999999997</v>
      </c>
      <c r="S20" s="75">
        <v>0.96830000000000005</v>
      </c>
      <c r="T20" s="75">
        <v>0.93289999999999995</v>
      </c>
      <c r="U20" s="75">
        <v>0.9375</v>
      </c>
      <c r="V20" s="75">
        <v>0.92130000000000001</v>
      </c>
      <c r="W20" s="75">
        <v>0.9546</v>
      </c>
      <c r="X20" s="75">
        <v>0.96160000000000001</v>
      </c>
      <c r="Y20" s="75">
        <v>0.97389999999999999</v>
      </c>
      <c r="Z20" s="75">
        <v>0.93679999999999997</v>
      </c>
      <c r="AA20" s="75">
        <v>0.92930000000000001</v>
      </c>
      <c r="AB20" s="75">
        <v>0.93020000000000003</v>
      </c>
      <c r="AC20" s="75">
        <v>0.91349999999999998</v>
      </c>
      <c r="AD20" s="75">
        <v>0.90649999999999997</v>
      </c>
      <c r="AE20" s="75">
        <v>0.93710000000000004</v>
      </c>
      <c r="AF20" s="75">
        <v>0.93</v>
      </c>
      <c r="AG20" s="75">
        <v>0.9647</v>
      </c>
      <c r="AH20" s="75">
        <v>0.96040000000000003</v>
      </c>
      <c r="AI20" s="124">
        <f t="shared" si="0"/>
        <v>0.94042916666666676</v>
      </c>
      <c r="AJ20" s="124">
        <f t="shared" si="1"/>
        <v>2.2833470458701759E-2</v>
      </c>
      <c r="AK20" s="125">
        <f>+AJ20/AI20</f>
        <v>2.4279840808887881E-2</v>
      </c>
      <c r="AL20" s="125" t="str">
        <f>+HLOOKUP(AN20,$K20:$AH$68,49,FALSE)</f>
        <v xml:space="preserve">Esmeraldas </v>
      </c>
      <c r="AM20" s="135">
        <f t="shared" si="3"/>
        <v>0.97389999999999999</v>
      </c>
      <c r="AN20" s="135">
        <f t="shared" si="4"/>
        <v>0.87929999999999997</v>
      </c>
      <c r="AO20" s="124">
        <f>+AM20/AN20</f>
        <v>1.1075855794381895</v>
      </c>
      <c r="AP20" s="135">
        <f t="shared" si="16"/>
        <v>0.97389999999999999</v>
      </c>
      <c r="AQ20" s="139">
        <f>+HLOOKUP($AQ$3,$K$3:$AH$67,18,FALSE)</f>
        <v>0.93289999999999995</v>
      </c>
      <c r="AR20" s="134">
        <f>(((K20-$AN20)/($AM20-$AN20))*100)</f>
        <v>84.143763213530647</v>
      </c>
      <c r="AS20" s="134">
        <f>(((L20-$AN20)/($AM20-$AN20))*100)</f>
        <v>93.551797040169134</v>
      </c>
      <c r="AT20" s="134">
        <f>(((M20-$AN20)/($AM20-$AN20))*100)</f>
        <v>47.568710359408065</v>
      </c>
      <c r="AU20" s="134">
        <f>(((N20-$AN20)/($AM20-$AN20))*100)</f>
        <v>50</v>
      </c>
      <c r="AV20" s="134">
        <f>(((O20-$AN20)/($AM20-$AN20))*100)</f>
        <v>81.71247357293872</v>
      </c>
      <c r="AW20" s="134">
        <f>(((P20-$AN20)/($AM20-$AN20))*100)</f>
        <v>66.384778012685061</v>
      </c>
      <c r="AX20" s="134">
        <f>(((Q20-$AN20)/($AM20-$AN20))*100)</f>
        <v>81.183932346723012</v>
      </c>
      <c r="AY20" s="134">
        <f>(((R20-$AN20)/($AM20-$AN20))*100)</f>
        <v>0</v>
      </c>
      <c r="AZ20" s="134">
        <f>(((S20-$AN20)/($AM20-$AN20))*100)</f>
        <v>94.080338266384842</v>
      </c>
      <c r="BA20" s="134">
        <f>(((T20-$AN20)/($AM20-$AN20))*100)</f>
        <v>56.659619450317088</v>
      </c>
      <c r="BB20" s="134">
        <f>(((U20-$AN20)/($AM20-$AN20))*100)</f>
        <v>61.522198731501078</v>
      </c>
      <c r="BC20" s="134">
        <f>(((V20-$AN20)/($AM20-$AN20))*100)</f>
        <v>44.397463002114193</v>
      </c>
      <c r="BD20" s="134">
        <f>(((W20-$AN20)/($AM20-$AN20))*100)</f>
        <v>79.598308668076129</v>
      </c>
      <c r="BE20" s="134">
        <f>(((X20-$AN20)/($AM20-$AN20))*100)</f>
        <v>86.997885835095161</v>
      </c>
      <c r="BF20" s="134">
        <f>(((Y20-$AN20)/($AM20-$AN20))*100)</f>
        <v>100</v>
      </c>
      <c r="BG20" s="134">
        <f>(((Z20-$AN20)/($AM20-$AN20))*100)</f>
        <v>60.782241014799141</v>
      </c>
      <c r="BH20" s="134">
        <f>(((AA20-$AN20)/($AM20-$AN20))*100)</f>
        <v>52.854122621564514</v>
      </c>
      <c r="BI20" s="134">
        <f>(((AB20-$AN20)/($AM20-$AN20))*100)</f>
        <v>53.805496828752695</v>
      </c>
      <c r="BJ20" s="134">
        <f>(((AC20-$AN20)/($AM20-$AN20))*100)</f>
        <v>36.152219873150109</v>
      </c>
      <c r="BK20" s="134">
        <f>(((AD20-$AN20)/($AM20-$AN20))*100)</f>
        <v>28.752642706131077</v>
      </c>
      <c r="BL20" s="134">
        <f>(((AE20-$AN20)/($AM20-$AN20))*100)</f>
        <v>61.099365750528612</v>
      </c>
      <c r="BM20" s="134">
        <f>(((AF20-$AN20)/($AM20-$AN20))*100)</f>
        <v>53.594080338266458</v>
      </c>
      <c r="BN20" s="134">
        <f>(((AG20-$AN20)/($AM20-$AN20))*100)</f>
        <v>90.274841437632148</v>
      </c>
      <c r="BO20" s="134">
        <f>(((AH20-$AN20)/($AM20-$AN20))*100)</f>
        <v>85.729386892177644</v>
      </c>
      <c r="BP20" s="129">
        <f>+MAX(AR20:BO20)</f>
        <v>100</v>
      </c>
      <c r="BQ20" s="129">
        <f>+MIN(AR20:BO20)</f>
        <v>0</v>
      </c>
      <c r="BR20" s="129">
        <f>+AVERAGE(AR20:BO20)</f>
        <v>64.618569415081083</v>
      </c>
      <c r="BS20" s="129">
        <f>STDEVA(AR20:BO20)</f>
        <v>24.1368609500018</v>
      </c>
      <c r="BT20" s="130">
        <f>+BS20/BR20</f>
        <v>0.37352824688762903</v>
      </c>
      <c r="BU20" s="131">
        <f t="shared" si="17"/>
        <v>1.6828752642706133</v>
      </c>
      <c r="BV20" s="131">
        <f t="shared" si="17"/>
        <v>1.8710359408033828</v>
      </c>
      <c r="BW20" s="131">
        <f t="shared" si="17"/>
        <v>0.95137420718816146</v>
      </c>
      <c r="BX20" s="131">
        <f t="shared" si="17"/>
        <v>1</v>
      </c>
      <c r="BY20" s="131">
        <f t="shared" si="17"/>
        <v>1.6342494714587745</v>
      </c>
      <c r="BZ20" s="131">
        <f t="shared" si="17"/>
        <v>1.3276955602537015</v>
      </c>
      <c r="CA20" s="131">
        <f t="shared" si="17"/>
        <v>1.6236786469344606</v>
      </c>
      <c r="CB20" s="131">
        <f t="shared" si="17"/>
        <v>0</v>
      </c>
      <c r="CC20" s="131">
        <f t="shared" si="17"/>
        <v>1.8816067653276971</v>
      </c>
      <c r="CD20" s="131">
        <f t="shared" si="17"/>
        <v>1.1331923890063418</v>
      </c>
      <c r="CE20" s="131">
        <f t="shared" si="18"/>
        <v>1.2304439746300218</v>
      </c>
      <c r="CF20" s="131">
        <f t="shared" si="18"/>
        <v>0.88794926004228403</v>
      </c>
      <c r="CG20" s="131">
        <f t="shared" si="18"/>
        <v>1.5919661733615227</v>
      </c>
      <c r="CH20" s="131">
        <f t="shared" si="18"/>
        <v>1.7399577167019034</v>
      </c>
      <c r="CI20" s="131">
        <f t="shared" si="18"/>
        <v>2</v>
      </c>
      <c r="CJ20" s="131">
        <f t="shared" si="18"/>
        <v>1.2156448202959831</v>
      </c>
      <c r="CK20" s="131">
        <f t="shared" si="18"/>
        <v>1.0570824524312905</v>
      </c>
      <c r="CL20" s="131">
        <f t="shared" si="18"/>
        <v>1.0761099365750539</v>
      </c>
      <c r="CM20" s="131">
        <f t="shared" si="18"/>
        <v>0.72304439746300231</v>
      </c>
      <c r="CN20" s="131">
        <f t="shared" si="18"/>
        <v>0.57505285412262164</v>
      </c>
      <c r="CO20" s="131">
        <f t="shared" si="12"/>
        <v>1.2219873150105725</v>
      </c>
      <c r="CP20" s="131">
        <f t="shared" si="12"/>
        <v>1.0718816067653294</v>
      </c>
      <c r="CQ20" s="131">
        <f t="shared" si="12"/>
        <v>1.8054968287526432</v>
      </c>
      <c r="CR20" s="131">
        <f t="shared" si="12"/>
        <v>1.714587737843553</v>
      </c>
      <c r="CS20" s="131">
        <f t="shared" si="12"/>
        <v>2</v>
      </c>
      <c r="CT20" s="132">
        <f t="shared" si="19"/>
        <v>16.828752642706132</v>
      </c>
      <c r="CU20" s="132">
        <f t="shared" si="19"/>
        <v>18.710359408033828</v>
      </c>
      <c r="CV20" s="132">
        <f t="shared" si="19"/>
        <v>9.5137420718816141</v>
      </c>
      <c r="CW20" s="132">
        <f t="shared" si="19"/>
        <v>10</v>
      </c>
      <c r="CX20" s="132">
        <f t="shared" si="19"/>
        <v>16.342494714587744</v>
      </c>
      <c r="CY20" s="132">
        <f t="shared" si="19"/>
        <v>13.276955602537013</v>
      </c>
      <c r="CZ20" s="132">
        <f t="shared" si="19"/>
        <v>16.236786469344604</v>
      </c>
      <c r="DA20" s="132">
        <f t="shared" si="19"/>
        <v>0</v>
      </c>
      <c r="DB20" s="132">
        <f t="shared" si="19"/>
        <v>18.816067653276971</v>
      </c>
      <c r="DC20" s="132">
        <f t="shared" si="19"/>
        <v>11.331923890063418</v>
      </c>
      <c r="DD20" s="132">
        <f t="shared" si="20"/>
        <v>12.304439746300217</v>
      </c>
      <c r="DE20" s="132">
        <f t="shared" si="20"/>
        <v>8.8794926004228394</v>
      </c>
      <c r="DF20" s="132">
        <f t="shared" si="20"/>
        <v>15.919661733615227</v>
      </c>
      <c r="DG20" s="132">
        <f t="shared" si="20"/>
        <v>17.399577167019032</v>
      </c>
      <c r="DH20" s="132">
        <f t="shared" si="20"/>
        <v>20</v>
      </c>
      <c r="DI20" s="132">
        <f t="shared" si="20"/>
        <v>12.15644820295983</v>
      </c>
      <c r="DJ20" s="132">
        <f t="shared" si="20"/>
        <v>10.570824524312904</v>
      </c>
      <c r="DK20" s="132">
        <f t="shared" si="20"/>
        <v>10.761099365750539</v>
      </c>
      <c r="DL20" s="132">
        <f t="shared" si="20"/>
        <v>7.2304439746300222</v>
      </c>
      <c r="DM20" s="132">
        <f t="shared" si="20"/>
        <v>5.7505285412262159</v>
      </c>
      <c r="DN20" s="132">
        <f t="shared" si="21"/>
        <v>12.219873150105723</v>
      </c>
      <c r="DO20" s="132">
        <f t="shared" si="21"/>
        <v>10.718816067653293</v>
      </c>
      <c r="DP20" s="132">
        <f t="shared" si="21"/>
        <v>18.054968287526432</v>
      </c>
      <c r="DQ20" s="132">
        <f t="shared" si="21"/>
        <v>17.145877378435529</v>
      </c>
      <c r="DR20" s="58"/>
    </row>
    <row r="21" spans="1:122" ht="150">
      <c r="A21" s="50">
        <v>2017</v>
      </c>
      <c r="B21" s="51" t="s">
        <v>163</v>
      </c>
      <c r="C21" s="52">
        <f>+VLOOKUP(B21,'Indice por pilar'!$B$9:$C$20,2,FALSE)</f>
        <v>0.1</v>
      </c>
      <c r="D21" s="52">
        <f>+VLOOKUP(B21,[1]PONDERACIÓN!$B$22:$E$33,4,FALSE)</f>
        <v>0.2</v>
      </c>
      <c r="E21" s="53" t="s">
        <v>119</v>
      </c>
      <c r="F21" s="59" t="s">
        <v>168</v>
      </c>
      <c r="G21" s="60" t="s">
        <v>169</v>
      </c>
      <c r="H21" s="70" t="s">
        <v>370</v>
      </c>
      <c r="I21" s="60">
        <v>2016</v>
      </c>
      <c r="J21" s="60" t="s">
        <v>131</v>
      </c>
      <c r="K21" s="76">
        <v>0.1918</v>
      </c>
      <c r="L21" s="76">
        <v>0.221</v>
      </c>
      <c r="M21" s="76">
        <v>0.1996</v>
      </c>
      <c r="N21" s="76">
        <v>0.21709999999999999</v>
      </c>
      <c r="O21" s="76">
        <v>0.1396</v>
      </c>
      <c r="P21" s="76">
        <v>0.17380000000000001</v>
      </c>
      <c r="Q21" s="76">
        <v>0.18210000000000001</v>
      </c>
      <c r="R21" s="76">
        <v>0.1797</v>
      </c>
      <c r="S21" s="76">
        <v>9.4399999999999998E-2</v>
      </c>
      <c r="T21" s="76">
        <v>0.35720000000000002</v>
      </c>
      <c r="U21" s="76">
        <v>0.2233</v>
      </c>
      <c r="V21" s="76">
        <v>0.28270000000000001</v>
      </c>
      <c r="W21" s="76">
        <v>0.30590000000000001</v>
      </c>
      <c r="X21" s="76">
        <v>0.32750000000000001</v>
      </c>
      <c r="Y21" s="76">
        <v>0.17760000000000001</v>
      </c>
      <c r="Z21" s="76">
        <v>0.27339999999999998</v>
      </c>
      <c r="AA21" s="76">
        <v>0.1593</v>
      </c>
      <c r="AB21" s="76">
        <v>0.18060000000000001</v>
      </c>
      <c r="AC21" s="76">
        <v>0.1232</v>
      </c>
      <c r="AD21" s="76">
        <v>0.11840000000000001</v>
      </c>
      <c r="AE21" s="76">
        <v>0.25679999999999997</v>
      </c>
      <c r="AF21" s="76">
        <v>0.23430000000000001</v>
      </c>
      <c r="AG21" s="76">
        <v>0.32840000000000003</v>
      </c>
      <c r="AH21" s="76">
        <v>0.19620000000000001</v>
      </c>
      <c r="AI21" s="124">
        <f t="shared" si="0"/>
        <v>0.21432916666666671</v>
      </c>
      <c r="AJ21" s="124">
        <f t="shared" si="1"/>
        <v>7.0105277846136765E-2</v>
      </c>
      <c r="AK21" s="125">
        <f>+AJ21/AI21</f>
        <v>0.32709163636681937</v>
      </c>
      <c r="AL21" s="125" t="str">
        <f>+HLOOKUP(AN21,$K21:$AH$68,48,FALSE)</f>
        <v>Galápagos</v>
      </c>
      <c r="AM21" s="135">
        <f t="shared" si="3"/>
        <v>0.35720000000000002</v>
      </c>
      <c r="AN21" s="135">
        <f t="shared" si="4"/>
        <v>9.4399999999999998E-2</v>
      </c>
      <c r="AO21" s="124">
        <f>+AM21/AN21</f>
        <v>3.7838983050847461</v>
      </c>
      <c r="AP21" s="135">
        <f>+AN21</f>
        <v>9.4399999999999998E-2</v>
      </c>
      <c r="AQ21" s="139">
        <f>+HLOOKUP($AQ$3,$K$3:$AH$67,19,FALSE)</f>
        <v>0.35720000000000002</v>
      </c>
      <c r="AR21" s="134">
        <f>100-(((K21-$AN21)/($AM21-$AN21))*100)</f>
        <v>62.937595129375957</v>
      </c>
      <c r="AS21" s="134">
        <f>100-(((L21-$AN21)/($AM21-$AN21))*100)</f>
        <v>51.82648401826485</v>
      </c>
      <c r="AT21" s="134">
        <f>100-(((M21-$AN21)/($AM21-$AN21))*100)</f>
        <v>59.969558599695588</v>
      </c>
      <c r="AU21" s="134">
        <f>100-(((N21-$AN21)/($AM21-$AN21))*100)</f>
        <v>53.310502283105031</v>
      </c>
      <c r="AV21" s="134">
        <f>100-(((O21-$AN21)/($AM21-$AN21))*100)</f>
        <v>82.800608828006091</v>
      </c>
      <c r="AW21" s="134">
        <f>100-(((P21-$AN21)/($AM21-$AN21))*100)</f>
        <v>69.786910197869105</v>
      </c>
      <c r="AX21" s="134">
        <f>100-(((Q21-$AN21)/($AM21-$AN21))*100)</f>
        <v>66.628614916286153</v>
      </c>
      <c r="AY21" s="134">
        <f>100-(((R21-$AN21)/($AM21-$AN21))*100)</f>
        <v>67.541856925418585</v>
      </c>
      <c r="AZ21" s="134">
        <f>100-(((S21-$AN21)/($AM21-$AN21))*100)</f>
        <v>100</v>
      </c>
      <c r="BA21" s="134">
        <f>100-(((T21-$AN21)/($AM21-$AN21))*100)</f>
        <v>0</v>
      </c>
      <c r="BB21" s="134">
        <f>100-(((U21-$AN21)/($AM21-$AN21))*100)</f>
        <v>50.951293759512936</v>
      </c>
      <c r="BC21" s="134">
        <f>100-(((V21-$AN21)/($AM21-$AN21))*100)</f>
        <v>28.348554033485541</v>
      </c>
      <c r="BD21" s="134">
        <f>100-(((W21-$AN21)/($AM21-$AN21))*100)</f>
        <v>19.520547945205479</v>
      </c>
      <c r="BE21" s="134">
        <f>100-(((X21-$AN21)/($AM21-$AN21))*100)</f>
        <v>11.301369863013704</v>
      </c>
      <c r="BF21" s="134">
        <f>100-(((Y21-$AN21)/($AM21-$AN21))*100)</f>
        <v>68.340943683409435</v>
      </c>
      <c r="BG21" s="134">
        <f>100-(((Z21-$AN21)/($AM21-$AN21))*100)</f>
        <v>31.887366818873673</v>
      </c>
      <c r="BH21" s="134">
        <f>100-(((AA21-$AN21)/($AM21-$AN21))*100)</f>
        <v>75.304414003044144</v>
      </c>
      <c r="BI21" s="134">
        <f>100-(((AB21-$AN21)/($AM21-$AN21))*100)</f>
        <v>67.199391171993909</v>
      </c>
      <c r="BJ21" s="134">
        <f>100-(((AC21-$AN21)/($AM21-$AN21))*100)</f>
        <v>89.041095890410958</v>
      </c>
      <c r="BK21" s="134">
        <f>100-(((AD21-$AN21)/($AM21-$AN21))*100)</f>
        <v>90.867579908675793</v>
      </c>
      <c r="BL21" s="134">
        <f>100-(((AE21-$AN21)/($AM21-$AN21))*100)</f>
        <v>38.20395738203959</v>
      </c>
      <c r="BM21" s="134">
        <f>100-(((AF21-$AN21)/($AM21-$AN21))*100)</f>
        <v>46.765601217656005</v>
      </c>
      <c r="BN21" s="134">
        <f>100-(((AG21-$AN21)/($AM21-$AN21))*100)</f>
        <v>10.958904109589042</v>
      </c>
      <c r="BO21" s="134">
        <f>100-(((AH21-$AN21)/($AM21-$AN21))*100)</f>
        <v>61.263318112633179</v>
      </c>
      <c r="BP21" s="129">
        <f>+MAX(AR21:BO21)</f>
        <v>100</v>
      </c>
      <c r="BQ21" s="129">
        <f>+MIN(AR21:BO21)</f>
        <v>0</v>
      </c>
      <c r="BR21" s="129">
        <f>+AVERAGE(AR21:BO21)</f>
        <v>54.364852866565208</v>
      </c>
      <c r="BS21" s="129">
        <f>STDEVA(AR21:BO21)</f>
        <v>26.676285329580239</v>
      </c>
      <c r="BT21" s="130">
        <f>+BS21/BR21</f>
        <v>0.49068992047224602</v>
      </c>
      <c r="BU21" s="131">
        <f t="shared" si="17"/>
        <v>1.2587519025875193</v>
      </c>
      <c r="BV21" s="131">
        <f t="shared" si="17"/>
        <v>1.036529680365297</v>
      </c>
      <c r="BW21" s="131">
        <f t="shared" si="17"/>
        <v>1.1993911719939119</v>
      </c>
      <c r="BX21" s="131">
        <f t="shared" si="17"/>
        <v>1.0662100456621006</v>
      </c>
      <c r="BY21" s="131">
        <f t="shared" si="17"/>
        <v>1.6560121765601221</v>
      </c>
      <c r="BZ21" s="131">
        <f t="shared" si="17"/>
        <v>1.3957382039573822</v>
      </c>
      <c r="CA21" s="131">
        <f t="shared" si="17"/>
        <v>1.3325722983257231</v>
      </c>
      <c r="CB21" s="131">
        <f t="shared" si="17"/>
        <v>1.3508371385083719</v>
      </c>
      <c r="CC21" s="131">
        <f t="shared" si="17"/>
        <v>2</v>
      </c>
      <c r="CD21" s="131">
        <f t="shared" si="17"/>
        <v>0</v>
      </c>
      <c r="CE21" s="131">
        <f t="shared" si="18"/>
        <v>1.0190258751902588</v>
      </c>
      <c r="CF21" s="131">
        <f t="shared" si="18"/>
        <v>0.56697108066971091</v>
      </c>
      <c r="CG21" s="131">
        <f t="shared" si="18"/>
        <v>0.3904109589041096</v>
      </c>
      <c r="CH21" s="131">
        <f t="shared" si="18"/>
        <v>0.2260273972602741</v>
      </c>
      <c r="CI21" s="131">
        <f t="shared" si="18"/>
        <v>1.3668188736681888</v>
      </c>
      <c r="CJ21" s="131">
        <f t="shared" si="18"/>
        <v>0.63774733637747349</v>
      </c>
      <c r="CK21" s="131">
        <f t="shared" si="18"/>
        <v>1.506088280060883</v>
      </c>
      <c r="CL21" s="131">
        <f t="shared" si="18"/>
        <v>1.3439878234398783</v>
      </c>
      <c r="CM21" s="131">
        <f t="shared" si="18"/>
        <v>1.7808219178082194</v>
      </c>
      <c r="CN21" s="131">
        <f t="shared" si="18"/>
        <v>1.8173515981735162</v>
      </c>
      <c r="CO21" s="131">
        <f t="shared" si="12"/>
        <v>0.76407914764079188</v>
      </c>
      <c r="CP21" s="131">
        <f t="shared" si="12"/>
        <v>0.93531202435312011</v>
      </c>
      <c r="CQ21" s="131">
        <f t="shared" si="12"/>
        <v>0.21917808219178087</v>
      </c>
      <c r="CR21" s="131">
        <f t="shared" si="12"/>
        <v>1.2252663622526638</v>
      </c>
      <c r="CS21" s="131">
        <f t="shared" si="12"/>
        <v>2</v>
      </c>
      <c r="CT21" s="132">
        <f t="shared" si="19"/>
        <v>12.587519025875192</v>
      </c>
      <c r="CU21" s="132">
        <f t="shared" si="19"/>
        <v>10.365296803652971</v>
      </c>
      <c r="CV21" s="132">
        <f t="shared" si="19"/>
        <v>11.993911719939119</v>
      </c>
      <c r="CW21" s="132">
        <f t="shared" si="19"/>
        <v>10.662100456621006</v>
      </c>
      <c r="CX21" s="132">
        <f t="shared" si="19"/>
        <v>16.56012176560122</v>
      </c>
      <c r="CY21" s="132">
        <f t="shared" si="19"/>
        <v>13.957382039573822</v>
      </c>
      <c r="CZ21" s="132">
        <f t="shared" si="19"/>
        <v>13.325722983257231</v>
      </c>
      <c r="DA21" s="132">
        <f t="shared" si="19"/>
        <v>13.508371385083718</v>
      </c>
      <c r="DB21" s="132">
        <f t="shared" si="19"/>
        <v>20</v>
      </c>
      <c r="DC21" s="132">
        <f t="shared" si="19"/>
        <v>0</v>
      </c>
      <c r="DD21" s="132">
        <f t="shared" si="20"/>
        <v>10.190258751902588</v>
      </c>
      <c r="DE21" s="132">
        <f t="shared" si="20"/>
        <v>5.6697108066971085</v>
      </c>
      <c r="DF21" s="132">
        <f t="shared" si="20"/>
        <v>3.904109589041096</v>
      </c>
      <c r="DG21" s="132">
        <f t="shared" si="20"/>
        <v>2.2602739726027408</v>
      </c>
      <c r="DH21" s="132">
        <f t="shared" si="20"/>
        <v>13.668188736681888</v>
      </c>
      <c r="DI21" s="132">
        <f t="shared" si="20"/>
        <v>6.3774733637747349</v>
      </c>
      <c r="DJ21" s="132">
        <f t="shared" si="20"/>
        <v>15.06088280060883</v>
      </c>
      <c r="DK21" s="132">
        <f t="shared" si="20"/>
        <v>13.439878234398783</v>
      </c>
      <c r="DL21" s="132">
        <f t="shared" si="20"/>
        <v>17.808219178082194</v>
      </c>
      <c r="DM21" s="132">
        <f t="shared" si="20"/>
        <v>18.173515981735161</v>
      </c>
      <c r="DN21" s="132">
        <f t="shared" si="21"/>
        <v>7.6407914764079186</v>
      </c>
      <c r="DO21" s="132">
        <f t="shared" si="21"/>
        <v>9.3531202435312011</v>
      </c>
      <c r="DP21" s="132">
        <f t="shared" si="21"/>
        <v>2.1917808219178085</v>
      </c>
      <c r="DQ21" s="132">
        <f t="shared" si="21"/>
        <v>12.252663622526637</v>
      </c>
      <c r="DR21" s="58"/>
    </row>
    <row r="22" spans="1:122" ht="150">
      <c r="A22" s="50">
        <v>2017</v>
      </c>
      <c r="B22" s="51" t="s">
        <v>163</v>
      </c>
      <c r="C22" s="52">
        <f>+VLOOKUP(B22,'Indice por pilar'!$B$9:$C$20,2,FALSE)</f>
        <v>0.1</v>
      </c>
      <c r="D22" s="52">
        <f>+VLOOKUP(B22,[1]PONDERACIÓN!$B$22:$E$33,4,FALSE)</f>
        <v>0.2</v>
      </c>
      <c r="E22" s="53" t="s">
        <v>119</v>
      </c>
      <c r="F22" s="59" t="s">
        <v>166</v>
      </c>
      <c r="G22" s="60" t="s">
        <v>167</v>
      </c>
      <c r="H22" s="70" t="s">
        <v>370</v>
      </c>
      <c r="I22" s="60">
        <v>2016</v>
      </c>
      <c r="J22" s="60" t="s">
        <v>131</v>
      </c>
      <c r="K22" s="76">
        <v>0.1200852721578182</v>
      </c>
      <c r="L22" s="76">
        <v>0.1298</v>
      </c>
      <c r="M22" s="76">
        <v>0.14510000000000001</v>
      </c>
      <c r="N22" s="76">
        <v>0.15409999999999999</v>
      </c>
      <c r="O22" s="76">
        <v>0.17730000000000001</v>
      </c>
      <c r="P22" s="76">
        <v>0.17449999999999999</v>
      </c>
      <c r="Q22" s="76">
        <v>0.18340000000000001</v>
      </c>
      <c r="R22" s="76">
        <v>0.1767</v>
      </c>
      <c r="S22" s="76">
        <v>7.7799999999999994E-2</v>
      </c>
      <c r="T22" s="76">
        <v>0.21560000000000001</v>
      </c>
      <c r="U22" s="76">
        <v>0.19869999999999999</v>
      </c>
      <c r="V22" s="76">
        <v>0.2334</v>
      </c>
      <c r="W22" s="76">
        <v>0.24779999999999999</v>
      </c>
      <c r="X22" s="76">
        <v>0.21110000000000001</v>
      </c>
      <c r="Y22" s="76">
        <v>0.2051</v>
      </c>
      <c r="Z22" s="76">
        <v>0.2286</v>
      </c>
      <c r="AA22" s="76">
        <v>0.19670000000000001</v>
      </c>
      <c r="AB22" s="76">
        <v>0.13350000000000001</v>
      </c>
      <c r="AC22" s="76">
        <v>0.13350000000000001</v>
      </c>
      <c r="AD22" s="76">
        <v>0.187</v>
      </c>
      <c r="AE22" s="76">
        <v>0.18440000000000001</v>
      </c>
      <c r="AF22" s="76">
        <v>0.14119999999999999</v>
      </c>
      <c r="AG22" s="76">
        <v>0.26729999999999998</v>
      </c>
      <c r="AH22" s="76">
        <v>0.16919999999999999</v>
      </c>
      <c r="AI22" s="124">
        <f t="shared" si="0"/>
        <v>0.17882855300657577</v>
      </c>
      <c r="AJ22" s="124">
        <f t="shared" si="1"/>
        <v>4.4433770793317645E-2</v>
      </c>
      <c r="AK22" s="125">
        <f>+AJ22/AI22</f>
        <v>0.24847134334126025</v>
      </c>
      <c r="AL22" s="125" t="str">
        <f>+HLOOKUP(AN22,$K22:$AH$68,47,FALSE)</f>
        <v>Galápagos</v>
      </c>
      <c r="AM22" s="135">
        <f t="shared" si="3"/>
        <v>0.26729999999999998</v>
      </c>
      <c r="AN22" s="135">
        <f t="shared" si="4"/>
        <v>7.7799999999999994E-2</v>
      </c>
      <c r="AO22" s="124">
        <f>+AM22/AN22</f>
        <v>3.4357326478149099</v>
      </c>
      <c r="AP22" s="135">
        <f>+AN22</f>
        <v>7.7799999999999994E-2</v>
      </c>
      <c r="AQ22" s="139">
        <f>+HLOOKUP($AQ$3,$K$3:$AH$67,20,FALSE)</f>
        <v>0.21560000000000001</v>
      </c>
      <c r="AR22" s="134">
        <f>100-(((K22-$AN22)/($AM22-$AN22))*100)</f>
        <v>77.685872212233136</v>
      </c>
      <c r="AS22" s="134">
        <f>100-(((L22-$AN22)/($AM22-$AN22))*100)</f>
        <v>72.559366754617415</v>
      </c>
      <c r="AT22" s="134">
        <f>100-(((M22-$AN22)/($AM22-$AN22))*100)</f>
        <v>64.485488126649074</v>
      </c>
      <c r="AU22" s="134">
        <f>100-(((N22-$AN22)/($AM22-$AN22))*100)</f>
        <v>59.736147757255942</v>
      </c>
      <c r="AV22" s="134">
        <f>100-(((O22-$AN22)/($AM22-$AN22))*100)</f>
        <v>47.493403693931391</v>
      </c>
      <c r="AW22" s="134">
        <f>100-(((P22-$AN22)/($AM22-$AN22))*100)</f>
        <v>48.970976253298161</v>
      </c>
      <c r="AX22" s="134">
        <f>100-(((Q22-$AN22)/($AM22-$AN22))*100)</f>
        <v>44.274406332453822</v>
      </c>
      <c r="AY22" s="134">
        <f>100-(((R22-$AN22)/($AM22-$AN22))*100)</f>
        <v>47.810026385224269</v>
      </c>
      <c r="AZ22" s="134">
        <f>100-(((S22-$AN22)/($AM22-$AN22))*100)</f>
        <v>100</v>
      </c>
      <c r="BA22" s="134">
        <f>100-(((T22-$AN22)/($AM22-$AN22))*100)</f>
        <v>27.282321899736132</v>
      </c>
      <c r="BB22" s="134">
        <f>100-(((U22-$AN22)/($AM22-$AN22))*100)</f>
        <v>36.200527704485495</v>
      </c>
      <c r="BC22" s="134">
        <f>100-(((V22-$AN22)/($AM22-$AN22))*100)</f>
        <v>17.889182058047481</v>
      </c>
      <c r="BD22" s="134">
        <f>100-(((W22-$AN22)/($AM22-$AN22))*100)</f>
        <v>10.290237467018486</v>
      </c>
      <c r="BE22" s="134">
        <f>100-(((X22-$AN22)/($AM22-$AN22))*100)</f>
        <v>29.656992084432702</v>
      </c>
      <c r="BF22" s="134">
        <f>100-(((Y22-$AN22)/($AM22-$AN22))*100)</f>
        <v>32.823218997361465</v>
      </c>
      <c r="BG22" s="134">
        <f>100-(((Z22-$AN22)/($AM22-$AN22))*100)</f>
        <v>20.422163588390504</v>
      </c>
      <c r="BH22" s="134">
        <f>100-(((AA22-$AN22)/($AM22-$AN22))*100)</f>
        <v>37.255936675461733</v>
      </c>
      <c r="BI22" s="134">
        <f>100-(((AB22-$AN22)/($AM22-$AN22))*100)</f>
        <v>70.606860158311349</v>
      </c>
      <c r="BJ22" s="134">
        <f>100-(((AC22-$AN22)/($AM22-$AN22))*100)</f>
        <v>70.606860158311349</v>
      </c>
      <c r="BK22" s="134">
        <f>100-(((AD22-$AN22)/($AM22-$AN22))*100)</f>
        <v>42.374670184696569</v>
      </c>
      <c r="BL22" s="134">
        <f>100-(((AE22-$AN22)/($AM22-$AN22))*100)</f>
        <v>43.746701846965699</v>
      </c>
      <c r="BM22" s="134">
        <f>100-(((AF22-$AN22)/($AM22-$AN22))*100)</f>
        <v>66.543535620052779</v>
      </c>
      <c r="BN22" s="134">
        <f>100-(((AG22-$AN22)/($AM22-$AN22))*100)</f>
        <v>0</v>
      </c>
      <c r="BO22" s="134">
        <f>100-(((AH22-$AN22)/($AM22-$AN22))*100)</f>
        <v>51.767810026385227</v>
      </c>
      <c r="BP22" s="129">
        <f>+MAX(AR22:BO22)</f>
        <v>100</v>
      </c>
      <c r="BQ22" s="129">
        <f>+MIN(AR22:BO22)</f>
        <v>0</v>
      </c>
      <c r="BR22" s="129">
        <f>+AVERAGE(AR22:BO22)</f>
        <v>46.686779416055003</v>
      </c>
      <c r="BS22" s="129">
        <f>STDEVA(AR22:BO22)</f>
        <v>23.447900154785049</v>
      </c>
      <c r="BT22" s="130">
        <f>+BS22/BR22</f>
        <v>0.50223854478858332</v>
      </c>
      <c r="BU22" s="131">
        <f t="shared" si="17"/>
        <v>1.5537174442446628</v>
      </c>
      <c r="BV22" s="131">
        <f t="shared" si="17"/>
        <v>1.4511873350923485</v>
      </c>
      <c r="BW22" s="131">
        <f t="shared" si="17"/>
        <v>1.2897097625329816</v>
      </c>
      <c r="BX22" s="131">
        <f t="shared" si="17"/>
        <v>1.1947229551451188</v>
      </c>
      <c r="BY22" s="131">
        <f t="shared" si="17"/>
        <v>0.94986807387862793</v>
      </c>
      <c r="BZ22" s="131">
        <f t="shared" si="17"/>
        <v>0.97941952506596341</v>
      </c>
      <c r="CA22" s="131">
        <f t="shared" si="17"/>
        <v>0.8854881266490765</v>
      </c>
      <c r="CB22" s="131">
        <f t="shared" si="17"/>
        <v>0.95620052770448538</v>
      </c>
      <c r="CC22" s="131">
        <f t="shared" si="17"/>
        <v>2</v>
      </c>
      <c r="CD22" s="131">
        <f t="shared" si="17"/>
        <v>0.54564643799472268</v>
      </c>
      <c r="CE22" s="131">
        <f t="shared" si="18"/>
        <v>0.72401055408970993</v>
      </c>
      <c r="CF22" s="131">
        <f t="shared" si="18"/>
        <v>0.35778364116094963</v>
      </c>
      <c r="CG22" s="131">
        <f t="shared" si="18"/>
        <v>0.20580474934036974</v>
      </c>
      <c r="CH22" s="131">
        <f t="shared" si="18"/>
        <v>0.59313984168865408</v>
      </c>
      <c r="CI22" s="131">
        <f t="shared" si="18"/>
        <v>0.65646437994722939</v>
      </c>
      <c r="CJ22" s="131">
        <f t="shared" si="18"/>
        <v>0.40844327176781009</v>
      </c>
      <c r="CK22" s="131">
        <f t="shared" si="18"/>
        <v>0.74511873350923474</v>
      </c>
      <c r="CL22" s="131">
        <f t="shared" si="18"/>
        <v>1.4121372031662272</v>
      </c>
      <c r="CM22" s="131">
        <f t="shared" si="18"/>
        <v>1.4121372031662272</v>
      </c>
      <c r="CN22" s="131">
        <f t="shared" si="18"/>
        <v>0.84749340369393156</v>
      </c>
      <c r="CO22" s="131">
        <f t="shared" si="12"/>
        <v>0.87493403693931404</v>
      </c>
      <c r="CP22" s="131">
        <f t="shared" si="12"/>
        <v>1.3308707124010557</v>
      </c>
      <c r="CQ22" s="131">
        <f t="shared" si="12"/>
        <v>0</v>
      </c>
      <c r="CR22" s="131">
        <f t="shared" si="12"/>
        <v>1.0353562005277046</v>
      </c>
      <c r="CS22" s="131">
        <f t="shared" si="12"/>
        <v>2</v>
      </c>
      <c r="CT22" s="132">
        <f t="shared" si="19"/>
        <v>15.537174442446627</v>
      </c>
      <c r="CU22" s="132">
        <f t="shared" si="19"/>
        <v>14.511873350923484</v>
      </c>
      <c r="CV22" s="132">
        <f t="shared" si="19"/>
        <v>12.897097625329815</v>
      </c>
      <c r="CW22" s="132">
        <f t="shared" si="19"/>
        <v>11.947229551451189</v>
      </c>
      <c r="CX22" s="132">
        <f t="shared" si="19"/>
        <v>9.4986807387862786</v>
      </c>
      <c r="CY22" s="132">
        <f t="shared" si="19"/>
        <v>9.7941952506596337</v>
      </c>
      <c r="CZ22" s="132">
        <f t="shared" si="19"/>
        <v>8.8548812664907643</v>
      </c>
      <c r="DA22" s="132">
        <f t="shared" si="19"/>
        <v>9.5620052770448538</v>
      </c>
      <c r="DB22" s="132">
        <f t="shared" si="19"/>
        <v>20</v>
      </c>
      <c r="DC22" s="132">
        <f t="shared" si="19"/>
        <v>5.456464379947227</v>
      </c>
      <c r="DD22" s="132">
        <f t="shared" si="20"/>
        <v>7.2401055408970993</v>
      </c>
      <c r="DE22" s="132">
        <f t="shared" si="20"/>
        <v>3.5778364116094963</v>
      </c>
      <c r="DF22" s="132">
        <f t="shared" si="20"/>
        <v>2.0580474934036972</v>
      </c>
      <c r="DG22" s="132">
        <f t="shared" si="20"/>
        <v>5.931398416886541</v>
      </c>
      <c r="DH22" s="132">
        <f t="shared" si="20"/>
        <v>6.564643799472293</v>
      </c>
      <c r="DI22" s="132">
        <f t="shared" si="20"/>
        <v>4.0844327176781006</v>
      </c>
      <c r="DJ22" s="132">
        <f t="shared" si="20"/>
        <v>7.4511873350923468</v>
      </c>
      <c r="DK22" s="132">
        <f t="shared" si="20"/>
        <v>14.12137203166227</v>
      </c>
      <c r="DL22" s="132">
        <f t="shared" si="20"/>
        <v>14.12137203166227</v>
      </c>
      <c r="DM22" s="132">
        <f t="shared" si="20"/>
        <v>8.4749340369393149</v>
      </c>
      <c r="DN22" s="132">
        <f t="shared" si="21"/>
        <v>8.7493403693931402</v>
      </c>
      <c r="DO22" s="132">
        <f t="shared" si="21"/>
        <v>13.308707124010557</v>
      </c>
      <c r="DP22" s="132">
        <f t="shared" si="21"/>
        <v>0</v>
      </c>
      <c r="DQ22" s="132">
        <f t="shared" si="21"/>
        <v>10.353562005277047</v>
      </c>
      <c r="DR22" s="58"/>
    </row>
    <row r="23" spans="1:122" ht="43" thickBot="1">
      <c r="A23" s="50">
        <v>2017</v>
      </c>
      <c r="B23" s="51" t="s">
        <v>174</v>
      </c>
      <c r="C23" s="52">
        <f>+VLOOKUP(B23,'Indice por pilar'!$B$9:$C$20,2,FALSE)</f>
        <v>0.1</v>
      </c>
      <c r="D23" s="52">
        <f>+VLOOKUP(B23,[1]PONDERACIÓN!$B$22:$E$33,4,FALSE)</f>
        <v>0.25</v>
      </c>
      <c r="E23" s="67" t="s">
        <v>124</v>
      </c>
      <c r="F23" s="59" t="s">
        <v>175</v>
      </c>
      <c r="G23" s="60" t="s">
        <v>176</v>
      </c>
      <c r="H23" s="60"/>
      <c r="I23" s="60">
        <v>2017</v>
      </c>
      <c r="J23" s="60" t="s">
        <v>177</v>
      </c>
      <c r="K23" s="62">
        <v>4979.45</v>
      </c>
      <c r="L23" s="62">
        <v>811.37</v>
      </c>
      <c r="M23" s="62">
        <v>1816.29</v>
      </c>
      <c r="N23" s="62">
        <v>1537.77</v>
      </c>
      <c r="O23" s="62">
        <v>1548.25</v>
      </c>
      <c r="P23" s="62">
        <v>2035.65</v>
      </c>
      <c r="Q23" s="62">
        <v>3972.3</v>
      </c>
      <c r="R23" s="62">
        <v>1057.8699999999999</v>
      </c>
      <c r="S23" s="62">
        <v>13692.09</v>
      </c>
      <c r="T23" s="62">
        <v>4567.57</v>
      </c>
      <c r="U23" s="62">
        <v>2026.4</v>
      </c>
      <c r="V23" s="62">
        <v>2345.39</v>
      </c>
      <c r="W23" s="62">
        <v>1271.02</v>
      </c>
      <c r="X23" s="62">
        <v>2433.9699999999998</v>
      </c>
      <c r="Y23" s="62">
        <v>1865.621197782885</v>
      </c>
      <c r="Z23" s="62">
        <v>1812.97</v>
      </c>
      <c r="AA23" s="62">
        <v>2690.69</v>
      </c>
      <c r="AB23" s="62">
        <v>2156.48</v>
      </c>
      <c r="AC23" s="62">
        <v>9502.44</v>
      </c>
      <c r="AD23" s="62">
        <v>3173.31</v>
      </c>
      <c r="AE23" s="62">
        <v>2770.6</v>
      </c>
      <c r="AF23" s="62">
        <v>4300.91</v>
      </c>
      <c r="AG23" s="62">
        <v>2112.13</v>
      </c>
      <c r="AH23" s="63">
        <v>2326</v>
      </c>
      <c r="AI23" s="124">
        <f t="shared" si="0"/>
        <v>3200.2725499076209</v>
      </c>
      <c r="AJ23" s="124">
        <f t="shared" si="1"/>
        <v>2868.9220104104511</v>
      </c>
      <c r="AK23" s="125">
        <f t="shared" si="2"/>
        <v>0.89646177494890722</v>
      </c>
      <c r="AL23" s="125" t="str">
        <f>+HLOOKUP(AN23,$K23:$AH$68,46,FALSE)</f>
        <v>Bolívar</v>
      </c>
      <c r="AM23" s="133">
        <f t="shared" si="3"/>
        <v>13692.09</v>
      </c>
      <c r="AN23" s="133">
        <f t="shared" si="4"/>
        <v>811.37</v>
      </c>
      <c r="AO23" s="124">
        <f t="shared" si="5"/>
        <v>16.87527268693691</v>
      </c>
      <c r="AP23" s="133">
        <f t="shared" ref="AP23:AP27" si="22">+AM23</f>
        <v>13692.09</v>
      </c>
      <c r="AQ23" s="127">
        <f>+HLOOKUP($AQ$3,$K$3:$AH$67,21,FALSE)</f>
        <v>4567.57</v>
      </c>
      <c r="AR23" s="134">
        <f>(((K23-$AN23)/($AM23-$AN23))*100)</f>
        <v>32.359060673626942</v>
      </c>
      <c r="AS23" s="134">
        <f>(((L23-$AN23)/($AM23-$AN23))*100)</f>
        <v>0</v>
      </c>
      <c r="AT23" s="134">
        <f>(((M23-$AN23)/($AM23-$AN23))*100)</f>
        <v>7.8017377910551593</v>
      </c>
      <c r="AU23" s="134">
        <f>(((N23-$AN23)/($AM23-$AN23))*100)</f>
        <v>5.6394363048028371</v>
      </c>
      <c r="AV23" s="134">
        <f>(((O23-$AN23)/($AM23-$AN23))*100)</f>
        <v>5.7207982162487809</v>
      </c>
      <c r="AW23" s="134">
        <f>(((P23-$AN23)/($AM23-$AN23))*100)</f>
        <v>9.5047481817786608</v>
      </c>
      <c r="AX23" s="134">
        <f>(((Q23-$AN23)/($AM23-$AN23))*100)</f>
        <v>24.540010185766018</v>
      </c>
      <c r="AY23" s="134">
        <f>(((R23-$AN23)/($AM23-$AN23))*100)</f>
        <v>1.913712898036755</v>
      </c>
      <c r="AZ23" s="134">
        <f>(((S23-$AN23)/($AM23-$AN23))*100)</f>
        <v>100</v>
      </c>
      <c r="BA23" s="134">
        <f>(((T23-$AN23)/($AM23-$AN23))*100)</f>
        <v>29.161413337142644</v>
      </c>
      <c r="BB23" s="134">
        <f>(((U23-$AN23)/($AM23-$AN23))*100)</f>
        <v>9.4329354259699798</v>
      </c>
      <c r="BC23" s="134">
        <f>(((V23-$AN23)/($AM23-$AN23))*100)</f>
        <v>11.909427423311742</v>
      </c>
      <c r="BD23" s="134">
        <f>(((W23-$AN23)/($AM23-$AN23))*100)</f>
        <v>3.568511698103833</v>
      </c>
      <c r="BE23" s="134">
        <f>(((X23-$AN23)/($AM23-$AN23))*100)</f>
        <v>12.59712190001801</v>
      </c>
      <c r="BF23" s="134">
        <f>(((Y23-$AN23)/($AM23-$AN23))*100)</f>
        <v>8.1847225759343036</v>
      </c>
      <c r="BG23" s="134">
        <f>(((Z23-$AN23)/($AM23-$AN23))*100)</f>
        <v>7.7759628343757186</v>
      </c>
      <c r="BH23" s="134">
        <f>(((AA23-$AN23)/($AM23-$AN23))*100)</f>
        <v>14.590178188796902</v>
      </c>
      <c r="BI23" s="134">
        <f>(((AB23-$AN23)/($AM23-$AN23))*100)</f>
        <v>10.442816861169254</v>
      </c>
      <c r="BJ23" s="134">
        <f>(((AC23-$AN23)/($AM23-$AN23))*100)</f>
        <v>67.473479743368387</v>
      </c>
      <c r="BK23" s="134">
        <f>(((AD23-$AN23)/($AM23-$AN23))*100)</f>
        <v>18.337018427541317</v>
      </c>
      <c r="BL23" s="134">
        <f>(((AE23-$AN23)/($AM23-$AN23))*100)</f>
        <v>15.210562763572225</v>
      </c>
      <c r="BM23" s="134">
        <f>(((AF23-$AN23)/($AM23-$AN23))*100)</f>
        <v>27.091187449148808</v>
      </c>
      <c r="BN23" s="134">
        <f>(((AG23-$AN23)/($AM23-$AN23))*100)</f>
        <v>10.098503810346008</v>
      </c>
      <c r="BO23" s="134">
        <f>(((AH23-$AN23)/($AM23-$AN23))*100)</f>
        <v>11.758892360054409</v>
      </c>
      <c r="BP23" s="129">
        <f t="shared" si="6"/>
        <v>100</v>
      </c>
      <c r="BQ23" s="129">
        <f t="shared" si="7"/>
        <v>0</v>
      </c>
      <c r="BR23" s="129">
        <f t="shared" si="8"/>
        <v>18.54634329375703</v>
      </c>
      <c r="BS23" s="129">
        <f t="shared" si="9"/>
        <v>22.272994137054848</v>
      </c>
      <c r="BT23" s="130">
        <f t="shared" si="10"/>
        <v>1.2009372297423322</v>
      </c>
      <c r="BU23" s="131">
        <f t="shared" ref="BU23:CI36" si="23">+AR23*$C23*$D23</f>
        <v>0.80897651684067362</v>
      </c>
      <c r="BV23" s="131">
        <f t="shared" si="23"/>
        <v>0</v>
      </c>
      <c r="BW23" s="131">
        <f t="shared" si="23"/>
        <v>0.195043444776379</v>
      </c>
      <c r="BX23" s="131">
        <f t="shared" si="23"/>
        <v>0.14098590762007093</v>
      </c>
      <c r="BY23" s="131">
        <f t="shared" si="23"/>
        <v>0.14301995540621953</v>
      </c>
      <c r="BZ23" s="131">
        <f t="shared" si="23"/>
        <v>0.23761870454446654</v>
      </c>
      <c r="CA23" s="131">
        <f t="shared" si="23"/>
        <v>0.61350025464415048</v>
      </c>
      <c r="CB23" s="131">
        <f t="shared" si="23"/>
        <v>4.7842822450918879E-2</v>
      </c>
      <c r="CC23" s="131">
        <f t="shared" si="23"/>
        <v>2.5</v>
      </c>
      <c r="CD23" s="131">
        <f t="shared" si="23"/>
        <v>0.72903533342856619</v>
      </c>
      <c r="CE23" s="131">
        <f t="shared" si="23"/>
        <v>0.23582338564924951</v>
      </c>
      <c r="CF23" s="131">
        <f t="shared" si="23"/>
        <v>0.29773568558279356</v>
      </c>
      <c r="CG23" s="131">
        <f t="shared" si="23"/>
        <v>8.9212792452595835E-2</v>
      </c>
      <c r="CH23" s="131">
        <f t="shared" si="23"/>
        <v>0.31492804750045028</v>
      </c>
      <c r="CI23" s="131">
        <f t="shared" si="23"/>
        <v>0.20461806439835761</v>
      </c>
      <c r="CJ23" s="131">
        <f t="shared" ref="CJ23:CM50" si="24">+BG23*$C23*$D23</f>
        <v>0.19439907085939298</v>
      </c>
      <c r="CK23" s="131">
        <f t="shared" si="12"/>
        <v>0.36475445471992257</v>
      </c>
      <c r="CL23" s="131">
        <f t="shared" si="12"/>
        <v>0.26107042152923138</v>
      </c>
      <c r="CM23" s="131">
        <f t="shared" si="12"/>
        <v>1.6868369935842098</v>
      </c>
      <c r="CN23" s="131">
        <f t="shared" si="12"/>
        <v>0.45842546068853296</v>
      </c>
      <c r="CO23" s="131">
        <f t="shared" si="12"/>
        <v>0.38026406908930566</v>
      </c>
      <c r="CP23" s="131">
        <f t="shared" si="12"/>
        <v>0.67727968622872026</v>
      </c>
      <c r="CQ23" s="131">
        <f t="shared" si="12"/>
        <v>0.25246259525865022</v>
      </c>
      <c r="CR23" s="131">
        <f t="shared" si="12"/>
        <v>0.29397230900136023</v>
      </c>
      <c r="CS23" s="131">
        <f t="shared" si="12"/>
        <v>2.5</v>
      </c>
      <c r="CT23" s="132">
        <f t="shared" si="15"/>
        <v>8.0897651684067355</v>
      </c>
      <c r="CU23" s="132">
        <f t="shared" si="15"/>
        <v>0</v>
      </c>
      <c r="CV23" s="132">
        <f t="shared" si="15"/>
        <v>1.9504344477637898</v>
      </c>
      <c r="CW23" s="132">
        <f t="shared" si="15"/>
        <v>1.4098590762007093</v>
      </c>
      <c r="CX23" s="132">
        <f t="shared" si="15"/>
        <v>1.4301995540621952</v>
      </c>
      <c r="CY23" s="132">
        <f t="shared" si="15"/>
        <v>2.3761870454446652</v>
      </c>
      <c r="CZ23" s="132">
        <f t="shared" si="15"/>
        <v>6.1350025464415046</v>
      </c>
      <c r="DA23" s="132">
        <f t="shared" si="15"/>
        <v>0.47842822450918876</v>
      </c>
      <c r="DB23" s="132">
        <f t="shared" si="15"/>
        <v>25</v>
      </c>
      <c r="DC23" s="132">
        <f t="shared" si="15"/>
        <v>7.290353334285661</v>
      </c>
      <c r="DD23" s="132">
        <f t="shared" si="15"/>
        <v>2.358233856492495</v>
      </c>
      <c r="DE23" s="132">
        <f t="shared" si="15"/>
        <v>2.9773568558279355</v>
      </c>
      <c r="DF23" s="132">
        <f t="shared" si="15"/>
        <v>0.89212792452595824</v>
      </c>
      <c r="DG23" s="132">
        <f t="shared" si="15"/>
        <v>3.1492804750045025</v>
      </c>
      <c r="DH23" s="132">
        <f t="shared" si="15"/>
        <v>2.0461806439835759</v>
      </c>
      <c r="DI23" s="132">
        <f t="shared" si="15"/>
        <v>1.9439907085939296</v>
      </c>
      <c r="DJ23" s="132">
        <f t="shared" ref="DJ23:DQ35" si="25">+BH23*$D23</f>
        <v>3.6475445471992254</v>
      </c>
      <c r="DK23" s="132">
        <f t="shared" si="25"/>
        <v>2.6107042152923134</v>
      </c>
      <c r="DL23" s="132">
        <f t="shared" si="25"/>
        <v>16.868369935842097</v>
      </c>
      <c r="DM23" s="132">
        <f t="shared" si="25"/>
        <v>4.5842546068853292</v>
      </c>
      <c r="DN23" s="132">
        <f t="shared" si="25"/>
        <v>3.8026406908930563</v>
      </c>
      <c r="DO23" s="132">
        <f t="shared" si="25"/>
        <v>6.7727968622872021</v>
      </c>
      <c r="DP23" s="132">
        <f t="shared" si="25"/>
        <v>2.524625952586502</v>
      </c>
      <c r="DQ23" s="132">
        <f t="shared" si="25"/>
        <v>2.9397230900136022</v>
      </c>
      <c r="DR23" s="58"/>
    </row>
    <row r="24" spans="1:122" ht="42">
      <c r="A24" s="50">
        <v>2017</v>
      </c>
      <c r="B24" s="51" t="s">
        <v>174</v>
      </c>
      <c r="C24" s="52">
        <f>+VLOOKUP(B24,'Indice por pilar'!$B$9:$C$20,2,FALSE)</f>
        <v>0.1</v>
      </c>
      <c r="D24" s="52">
        <f>+VLOOKUP(B24,[1]PONDERACIÓN!$B$22:$E$33,4,FALSE)</f>
        <v>0.25</v>
      </c>
      <c r="E24" s="53" t="s">
        <v>124</v>
      </c>
      <c r="F24" s="59" t="s">
        <v>178</v>
      </c>
      <c r="G24" s="60" t="s">
        <v>179</v>
      </c>
      <c r="H24" s="60" t="s">
        <v>359</v>
      </c>
      <c r="I24" s="60">
        <v>2015</v>
      </c>
      <c r="J24" s="60" t="s">
        <v>131</v>
      </c>
      <c r="K24" s="64">
        <v>8.8999999999999996E-2</v>
      </c>
      <c r="L24" s="64">
        <v>3.1600000000000003E-2</v>
      </c>
      <c r="M24" s="64">
        <v>4.53E-2</v>
      </c>
      <c r="N24" s="64">
        <v>5.8500000000000003E-2</v>
      </c>
      <c r="O24" s="64">
        <v>5.5599999999999997E-2</v>
      </c>
      <c r="P24" s="64">
        <v>6.54E-2</v>
      </c>
      <c r="Q24" s="64">
        <v>9.7900000000000001E-2</v>
      </c>
      <c r="R24" s="64">
        <v>7.3700000000000002E-2</v>
      </c>
      <c r="S24" s="64">
        <v>0.1017</v>
      </c>
      <c r="T24" s="64">
        <v>0.1191</v>
      </c>
      <c r="U24" s="64">
        <v>6.4000000000000001E-2</v>
      </c>
      <c r="V24" s="64">
        <v>6.4600000000000005E-2</v>
      </c>
      <c r="W24" s="64">
        <v>6.9900000000000004E-2</v>
      </c>
      <c r="X24" s="64">
        <v>5.8700000000000002E-2</v>
      </c>
      <c r="Y24" s="64">
        <v>5.62E-2</v>
      </c>
      <c r="Z24" s="64">
        <v>4.5400000000000003E-2</v>
      </c>
      <c r="AA24" s="64">
        <v>9.2499999999999999E-2</v>
      </c>
      <c r="AB24" s="64">
        <v>5.3100000000000001E-2</v>
      </c>
      <c r="AC24" s="64">
        <v>0.1182</v>
      </c>
      <c r="AD24" s="64">
        <v>7.8200000000000006E-2</v>
      </c>
      <c r="AE24" s="64">
        <v>7.3999999999999996E-2</v>
      </c>
      <c r="AF24" s="64">
        <v>4.4499999999999998E-2</v>
      </c>
      <c r="AG24" s="64">
        <v>6.1699999999999998E-2</v>
      </c>
      <c r="AH24" s="65">
        <v>0.09</v>
      </c>
      <c r="AI24" s="124">
        <f t="shared" si="0"/>
        <v>7.1200000000000013E-2</v>
      </c>
      <c r="AJ24" s="124">
        <f t="shared" si="1"/>
        <v>2.3111826447494967E-2</v>
      </c>
      <c r="AK24" s="125">
        <f t="shared" si="2"/>
        <v>0.32460430403785062</v>
      </c>
      <c r="AL24" s="125" t="str">
        <f>+HLOOKUP(AN24,$K24:$AH$68,45,FALSE)</f>
        <v>Bolívar</v>
      </c>
      <c r="AM24" s="135">
        <f t="shared" si="3"/>
        <v>0.1191</v>
      </c>
      <c r="AN24" s="135">
        <f t="shared" si="4"/>
        <v>3.1600000000000003E-2</v>
      </c>
      <c r="AO24" s="124">
        <f t="shared" si="5"/>
        <v>3.7689873417721516</v>
      </c>
      <c r="AP24" s="135">
        <f t="shared" si="22"/>
        <v>0.1191</v>
      </c>
      <c r="AQ24" s="136">
        <f>+HLOOKUP($AQ$3,$K$3:$AH$67,22,FALSE)</f>
        <v>0.1191</v>
      </c>
      <c r="AR24" s="128">
        <f>(((K24-$AN24)/($AM24-$AN24))*100)</f>
        <v>65.599999999999994</v>
      </c>
      <c r="AS24" s="128">
        <f>(((L24-$AN24)/($AM24-$AN24))*100)</f>
        <v>0</v>
      </c>
      <c r="AT24" s="128">
        <f>(((M24-$AN24)/($AM24-$AN24))*100)</f>
        <v>15.657142857142855</v>
      </c>
      <c r="AU24" s="128">
        <f>(((N24-$AN24)/($AM24-$AN24))*100)</f>
        <v>30.742857142857144</v>
      </c>
      <c r="AV24" s="128">
        <f>(((O24-$AN24)/($AM24-$AN24))*100)</f>
        <v>27.428571428571423</v>
      </c>
      <c r="AW24" s="128">
        <f>(((P24-$AN24)/($AM24-$AN24))*100)</f>
        <v>38.628571428571426</v>
      </c>
      <c r="AX24" s="128">
        <f>(((Q24-$AN24)/($AM24-$AN24))*100)</f>
        <v>75.771428571428572</v>
      </c>
      <c r="AY24" s="128">
        <f>(((R24-$AN24)/($AM24-$AN24))*100)</f>
        <v>48.114285714285714</v>
      </c>
      <c r="AZ24" s="128">
        <f>(((S24-$AN24)/($AM24-$AN24))*100)</f>
        <v>80.114285714285714</v>
      </c>
      <c r="BA24" s="128">
        <f>(((T24-$AN24)/($AM24-$AN24))*100)</f>
        <v>100</v>
      </c>
      <c r="BB24" s="128">
        <f>(((U24-$AN24)/($AM24-$AN24))*100)</f>
        <v>37.028571428571425</v>
      </c>
      <c r="BC24" s="128">
        <f>(((V24-$AN24)/($AM24-$AN24))*100)</f>
        <v>37.714285714285715</v>
      </c>
      <c r="BD24" s="128">
        <f>(((W24-$AN24)/($AM24-$AN24))*100)</f>
        <v>43.771428571428579</v>
      </c>
      <c r="BE24" s="128">
        <f>(((X24-$AN24)/($AM24-$AN24))*100)</f>
        <v>30.971428571428572</v>
      </c>
      <c r="BF24" s="128">
        <f>(((Y24-$AN24)/($AM24-$AN24))*100)</f>
        <v>28.114285714285714</v>
      </c>
      <c r="BG24" s="128">
        <f>(((Z24-$AN24)/($AM24-$AN24))*100)</f>
        <v>15.771428571428572</v>
      </c>
      <c r="BH24" s="128">
        <f>(((AA24-$AN24)/($AM24-$AN24))*100)</f>
        <v>69.599999999999994</v>
      </c>
      <c r="BI24" s="128">
        <f>(((AB24-$AN24)/($AM24-$AN24))*100)</f>
        <v>24.571428571428573</v>
      </c>
      <c r="BJ24" s="128">
        <f>(((AC24-$AN24)/($AM24-$AN24))*100)</f>
        <v>98.971428571428575</v>
      </c>
      <c r="BK24" s="128">
        <f>(((AD24-$AN24)/($AM24-$AN24))*100)</f>
        <v>53.25714285714286</v>
      </c>
      <c r="BL24" s="128">
        <f>(((AE24-$AN24)/($AM24-$AN24))*100)</f>
        <v>48.457142857142856</v>
      </c>
      <c r="BM24" s="128">
        <f>(((AF24-$AN24)/($AM24-$AN24))*100)</f>
        <v>14.742857142857138</v>
      </c>
      <c r="BN24" s="128">
        <f>(((AG24-$AN24)/($AM24-$AN24))*100)</f>
        <v>34.4</v>
      </c>
      <c r="BO24" s="128">
        <f>(((AH24-$AN24)/($AM24-$AN24))*100)</f>
        <v>66.742857142857133</v>
      </c>
      <c r="BP24" s="129">
        <f t="shared" si="6"/>
        <v>100</v>
      </c>
      <c r="BQ24" s="129">
        <f t="shared" si="7"/>
        <v>0</v>
      </c>
      <c r="BR24" s="129">
        <f t="shared" si="8"/>
        <v>45.257142857142846</v>
      </c>
      <c r="BS24" s="129">
        <f t="shared" si="9"/>
        <v>26.413515939994326</v>
      </c>
      <c r="BT24" s="130">
        <f t="shared" si="10"/>
        <v>0.58363198099734948</v>
      </c>
      <c r="BU24" s="131">
        <f t="shared" si="23"/>
        <v>1.64</v>
      </c>
      <c r="BV24" s="131">
        <f t="shared" si="23"/>
        <v>0</v>
      </c>
      <c r="BW24" s="131">
        <f t="shared" si="23"/>
        <v>0.3914285714285714</v>
      </c>
      <c r="BX24" s="131">
        <f t="shared" si="23"/>
        <v>0.76857142857142868</v>
      </c>
      <c r="BY24" s="131">
        <f t="shared" si="23"/>
        <v>0.68571428571428561</v>
      </c>
      <c r="BZ24" s="131">
        <f t="shared" si="23"/>
        <v>0.96571428571428575</v>
      </c>
      <c r="CA24" s="131">
        <f t="shared" si="23"/>
        <v>1.8942857142857144</v>
      </c>
      <c r="CB24" s="131">
        <f t="shared" si="23"/>
        <v>1.2028571428571428</v>
      </c>
      <c r="CC24" s="131">
        <f t="shared" si="23"/>
        <v>2.0028571428571431</v>
      </c>
      <c r="CD24" s="131">
        <f t="shared" si="23"/>
        <v>2.5</v>
      </c>
      <c r="CE24" s="131">
        <f t="shared" si="23"/>
        <v>0.92571428571428571</v>
      </c>
      <c r="CF24" s="131">
        <f t="shared" si="23"/>
        <v>0.94285714285714295</v>
      </c>
      <c r="CG24" s="131">
        <f t="shared" si="23"/>
        <v>1.0942857142857145</v>
      </c>
      <c r="CH24" s="131">
        <f t="shared" si="23"/>
        <v>0.77428571428571435</v>
      </c>
      <c r="CI24" s="131">
        <f t="shared" si="23"/>
        <v>0.70285714285714285</v>
      </c>
      <c r="CJ24" s="131">
        <f t="shared" si="24"/>
        <v>0.39428571428571435</v>
      </c>
      <c r="CK24" s="131">
        <f t="shared" si="12"/>
        <v>1.74</v>
      </c>
      <c r="CL24" s="131">
        <f t="shared" si="12"/>
        <v>0.61428571428571432</v>
      </c>
      <c r="CM24" s="131">
        <f t="shared" si="12"/>
        <v>2.4742857142857146</v>
      </c>
      <c r="CN24" s="131">
        <f t="shared" si="12"/>
        <v>1.3314285714285716</v>
      </c>
      <c r="CO24" s="131">
        <f t="shared" si="12"/>
        <v>1.2114285714285715</v>
      </c>
      <c r="CP24" s="131">
        <f t="shared" si="12"/>
        <v>0.36857142857142849</v>
      </c>
      <c r="CQ24" s="131">
        <f t="shared" si="12"/>
        <v>0.86</v>
      </c>
      <c r="CR24" s="131">
        <f t="shared" si="12"/>
        <v>1.6685714285714284</v>
      </c>
      <c r="CS24" s="131">
        <f t="shared" si="12"/>
        <v>2.5</v>
      </c>
      <c r="CT24" s="132">
        <f t="shared" si="15"/>
        <v>16.399999999999999</v>
      </c>
      <c r="CU24" s="132">
        <f t="shared" si="15"/>
        <v>0</v>
      </c>
      <c r="CV24" s="132">
        <f t="shared" si="15"/>
        <v>3.9142857142857137</v>
      </c>
      <c r="CW24" s="132">
        <f t="shared" si="15"/>
        <v>7.6857142857142859</v>
      </c>
      <c r="CX24" s="132">
        <f t="shared" si="15"/>
        <v>6.8571428571428559</v>
      </c>
      <c r="CY24" s="132">
        <f t="shared" si="15"/>
        <v>9.6571428571428566</v>
      </c>
      <c r="CZ24" s="132">
        <f t="shared" si="15"/>
        <v>18.942857142857143</v>
      </c>
      <c r="DA24" s="132">
        <f t="shared" si="15"/>
        <v>12.028571428571428</v>
      </c>
      <c r="DB24" s="132">
        <f t="shared" si="15"/>
        <v>20.028571428571428</v>
      </c>
      <c r="DC24" s="132">
        <f t="shared" si="15"/>
        <v>25</v>
      </c>
      <c r="DD24" s="132">
        <f t="shared" si="15"/>
        <v>9.2571428571428562</v>
      </c>
      <c r="DE24" s="132">
        <f t="shared" si="15"/>
        <v>9.4285714285714288</v>
      </c>
      <c r="DF24" s="132">
        <f t="shared" si="15"/>
        <v>10.942857142857145</v>
      </c>
      <c r="DG24" s="132">
        <f t="shared" si="15"/>
        <v>7.7428571428571429</v>
      </c>
      <c r="DH24" s="132">
        <f t="shared" si="15"/>
        <v>7.0285714285714285</v>
      </c>
      <c r="DI24" s="132">
        <f t="shared" si="15"/>
        <v>3.9428571428571431</v>
      </c>
      <c r="DJ24" s="132">
        <f t="shared" si="25"/>
        <v>17.399999999999999</v>
      </c>
      <c r="DK24" s="132">
        <f t="shared" si="25"/>
        <v>6.1428571428571432</v>
      </c>
      <c r="DL24" s="132">
        <f t="shared" si="25"/>
        <v>24.742857142857144</v>
      </c>
      <c r="DM24" s="132">
        <f t="shared" si="25"/>
        <v>13.314285714285715</v>
      </c>
      <c r="DN24" s="132">
        <f t="shared" si="25"/>
        <v>12.114285714285714</v>
      </c>
      <c r="DO24" s="132">
        <f t="shared" si="25"/>
        <v>3.6857142857142846</v>
      </c>
      <c r="DP24" s="132">
        <f t="shared" si="25"/>
        <v>8.6</v>
      </c>
      <c r="DQ24" s="132">
        <f t="shared" si="25"/>
        <v>16.685714285714283</v>
      </c>
      <c r="DR24" s="58"/>
    </row>
    <row r="25" spans="1:122" ht="84">
      <c r="A25" s="50">
        <v>2017</v>
      </c>
      <c r="B25" s="51" t="s">
        <v>174</v>
      </c>
      <c r="C25" s="52">
        <f>+VLOOKUP(B25,'Indice por pilar'!$B$9:$C$20,2,FALSE)</f>
        <v>0.1</v>
      </c>
      <c r="D25" s="52">
        <f>+VLOOKUP(B25,[1]PONDERACIÓN!$B$22:$E$33,4,FALSE)</f>
        <v>0.25</v>
      </c>
      <c r="E25" s="67" t="s">
        <v>124</v>
      </c>
      <c r="F25" s="59" t="s">
        <v>181</v>
      </c>
      <c r="G25" s="60" t="s">
        <v>182</v>
      </c>
      <c r="H25" s="60" t="s">
        <v>180</v>
      </c>
      <c r="I25" s="60">
        <v>2014</v>
      </c>
      <c r="J25" s="60" t="s">
        <v>131</v>
      </c>
      <c r="K25" s="64">
        <v>4.3999999999999997E-2</v>
      </c>
      <c r="L25" s="77">
        <v>3.984366345564931E-5</v>
      </c>
      <c r="M25" s="64">
        <v>3.8999999999999998E-3</v>
      </c>
      <c r="N25" s="64">
        <v>4.0000000000000002E-4</v>
      </c>
      <c r="O25" s="64">
        <v>1.5E-3</v>
      </c>
      <c r="P25" s="64">
        <v>6.7999999999999996E-3</v>
      </c>
      <c r="Q25" s="64">
        <v>1.4E-2</v>
      </c>
      <c r="R25" s="64">
        <v>2.8E-3</v>
      </c>
      <c r="S25" s="74">
        <v>2.5000000000000001E-3</v>
      </c>
      <c r="T25" s="64">
        <v>0.40889999999999999</v>
      </c>
      <c r="U25" s="64">
        <v>4.1999999999999997E-3</v>
      </c>
      <c r="V25" s="64">
        <v>3.2000000000000002E-3</v>
      </c>
      <c r="W25" s="64">
        <v>5.1000000000000004E-3</v>
      </c>
      <c r="X25" s="64">
        <v>3.4099999999999998E-2</v>
      </c>
      <c r="Y25" s="64">
        <v>2.9999999999999997E-4</v>
      </c>
      <c r="Z25" s="64">
        <v>2.9999999999999997E-4</v>
      </c>
      <c r="AA25" s="64">
        <v>8.9999999999999998E-4</v>
      </c>
      <c r="AB25" s="64">
        <v>2.9999999999999997E-4</v>
      </c>
      <c r="AC25" s="64">
        <v>0.43830000000000002</v>
      </c>
      <c r="AD25" s="64">
        <v>1.1000000000000001E-3</v>
      </c>
      <c r="AE25" s="64">
        <v>1.34E-2</v>
      </c>
      <c r="AF25" s="64">
        <v>7.1999999999999998E-3</v>
      </c>
      <c r="AG25" s="64">
        <v>2.3999999999999998E-3</v>
      </c>
      <c r="AH25" s="65">
        <v>4.4000000000000003E-3</v>
      </c>
      <c r="AI25" s="124">
        <f t="shared" si="0"/>
        <v>4.1668326819310646E-2</v>
      </c>
      <c r="AJ25" s="124">
        <f t="shared" si="1"/>
        <v>0.11819688338225749</v>
      </c>
      <c r="AK25" s="125">
        <f t="shared" si="2"/>
        <v>2.8366121801531201</v>
      </c>
      <c r="AL25" s="125" t="str">
        <f>+HLOOKUP(AN25,$K25:$AH$68,44,FALSE)</f>
        <v>Bolívar</v>
      </c>
      <c r="AM25" s="135">
        <f t="shared" si="3"/>
        <v>0.43830000000000002</v>
      </c>
      <c r="AN25" s="135">
        <f t="shared" si="4"/>
        <v>3.984366345564931E-5</v>
      </c>
      <c r="AO25" s="124">
        <f t="shared" si="5"/>
        <v>11000.494482337939</v>
      </c>
      <c r="AP25" s="135">
        <f t="shared" si="22"/>
        <v>0.43830000000000002</v>
      </c>
      <c r="AQ25" s="139">
        <f>+HLOOKUP($AQ$3,$K$3:$AH$67,23,FALSE)</f>
        <v>0.40889999999999999</v>
      </c>
      <c r="AR25" s="134">
        <f>(((K25-$AN25)/($AM25-$AN25))*100)</f>
        <v>10.030607551462403</v>
      </c>
      <c r="AS25" s="134">
        <f>(((L25-$AN25)/($AM25-$AN25))*100)</f>
        <v>0</v>
      </c>
      <c r="AT25" s="134">
        <f>(((M25-$AN25)/($AM25-$AN25))*100)</f>
        <v>0.88079107368822696</v>
      </c>
      <c r="AU25" s="134">
        <f>(((N25-$AN25)/($AM25-$AN25))*100)</f>
        <v>8.2178662909932212E-2</v>
      </c>
      <c r="AV25" s="134">
        <f>(((O25-$AN25)/($AM25-$AN25))*100)</f>
        <v>0.33317113486882483</v>
      </c>
      <c r="AW25" s="134">
        <f>(((P25-$AN25)/($AM25-$AN25))*100)</f>
        <v>1.5424984997616709</v>
      </c>
      <c r="AX25" s="134">
        <f>(((Q25-$AN25)/($AM25-$AN25))*100)</f>
        <v>3.1853583162198773</v>
      </c>
      <c r="AY25" s="134">
        <f>(((R25-$AN25)/($AM25-$AN25))*100)</f>
        <v>0.62979860172933422</v>
      </c>
      <c r="AZ25" s="134">
        <f>(((S25-$AN25)/($AM25-$AN25))*100)</f>
        <v>0.56134610937690899</v>
      </c>
      <c r="BA25" s="134">
        <f>(((T25-$AN25)/($AM25-$AN25))*100)</f>
        <v>93.291655749462322</v>
      </c>
      <c r="BB25" s="134">
        <f>(((U25-$AN25)/($AM25-$AN25))*100)</f>
        <v>0.94924356604065196</v>
      </c>
      <c r="BC25" s="134">
        <f>(((V25-$AN25)/($AM25-$AN25))*100)</f>
        <v>0.72106859153256797</v>
      </c>
      <c r="BD25" s="134">
        <f>(((W25-$AN25)/($AM25-$AN25))*100)</f>
        <v>1.1546010430979281</v>
      </c>
      <c r="BE25" s="134">
        <f>(((X25-$AN25)/($AM25-$AN25))*100)</f>
        <v>7.7716753038323692</v>
      </c>
      <c r="BF25" s="134">
        <f>(((Y25-$AN25)/($AM25-$AN25))*100)</f>
        <v>5.9361165459123781E-2</v>
      </c>
      <c r="BG25" s="134">
        <f>(((Z25-$AN25)/($AM25-$AN25))*100)</f>
        <v>5.9361165459123781E-2</v>
      </c>
      <c r="BH25" s="134">
        <f>(((AA25-$AN25)/($AM25-$AN25))*100)</f>
        <v>0.19626615016397428</v>
      </c>
      <c r="BI25" s="134">
        <f>(((AB25-$AN25)/($AM25-$AN25))*100)</f>
        <v>5.9361165459123781E-2</v>
      </c>
      <c r="BJ25" s="134">
        <f>(((AC25-$AN25)/($AM25-$AN25))*100)</f>
        <v>100</v>
      </c>
      <c r="BK25" s="134">
        <f>(((AD25-$AN25)/($AM25-$AN25))*100)</f>
        <v>0.24190114506559116</v>
      </c>
      <c r="BL25" s="134">
        <f>(((AE25-$AN25)/($AM25-$AN25))*100)</f>
        <v>3.0484533315150268</v>
      </c>
      <c r="BM25" s="134">
        <f>(((AF25-$AN25)/($AM25-$AN25))*100)</f>
        <v>1.6337684895649045</v>
      </c>
      <c r="BN25" s="134">
        <f>(((AG25-$AN25)/($AM25-$AN25))*100)</f>
        <v>0.53852861192610046</v>
      </c>
      <c r="BO25" s="134">
        <f>(((AH25-$AN25)/($AM25-$AN25))*100)</f>
        <v>0.99487856094226912</v>
      </c>
      <c r="BP25" s="129">
        <f t="shared" si="6"/>
        <v>100</v>
      </c>
      <c r="BQ25" s="129">
        <f t="shared" si="7"/>
        <v>0</v>
      </c>
      <c r="BR25" s="129">
        <f t="shared" si="8"/>
        <v>9.4985780828974278</v>
      </c>
      <c r="BS25" s="129">
        <f t="shared" si="9"/>
        <v>26.969570852681596</v>
      </c>
      <c r="BT25" s="130">
        <f t="shared" si="10"/>
        <v>2.8393271726892886</v>
      </c>
      <c r="BU25" s="131">
        <f t="shared" si="23"/>
        <v>0.25076518878656007</v>
      </c>
      <c r="BV25" s="131">
        <f t="shared" si="23"/>
        <v>0</v>
      </c>
      <c r="BW25" s="131">
        <f t="shared" si="23"/>
        <v>2.2019776842205675E-2</v>
      </c>
      <c r="BX25" s="131">
        <f t="shared" si="23"/>
        <v>2.0544665727483054E-3</v>
      </c>
      <c r="BY25" s="131">
        <f t="shared" si="23"/>
        <v>8.3292783717206203E-3</v>
      </c>
      <c r="BZ25" s="131">
        <f t="shared" si="23"/>
        <v>3.8562462494041772E-2</v>
      </c>
      <c r="CA25" s="131">
        <f t="shared" si="23"/>
        <v>7.9633957905496933E-2</v>
      </c>
      <c r="CB25" s="131">
        <f t="shared" si="23"/>
        <v>1.5744965043233358E-2</v>
      </c>
      <c r="CC25" s="131">
        <f t="shared" si="23"/>
        <v>1.4033652734422725E-2</v>
      </c>
      <c r="CD25" s="131">
        <f t="shared" si="23"/>
        <v>2.3322913937365581</v>
      </c>
      <c r="CE25" s="131">
        <f t="shared" si="23"/>
        <v>2.3731089151016301E-2</v>
      </c>
      <c r="CF25" s="131">
        <f t="shared" si="23"/>
        <v>1.8026714788314201E-2</v>
      </c>
      <c r="CG25" s="131">
        <f t="shared" si="23"/>
        <v>2.8865026077448203E-2</v>
      </c>
      <c r="CH25" s="131">
        <f t="shared" si="23"/>
        <v>0.19429188259580923</v>
      </c>
      <c r="CI25" s="131">
        <f t="shared" si="23"/>
        <v>1.4840291364780947E-3</v>
      </c>
      <c r="CJ25" s="131">
        <f t="shared" si="24"/>
        <v>1.4840291364780947E-3</v>
      </c>
      <c r="CK25" s="131">
        <f t="shared" si="12"/>
        <v>4.9066537540993571E-3</v>
      </c>
      <c r="CL25" s="131">
        <f t="shared" si="12"/>
        <v>1.4840291364780947E-3</v>
      </c>
      <c r="CM25" s="131">
        <f t="shared" si="12"/>
        <v>2.5</v>
      </c>
      <c r="CN25" s="131">
        <f t="shared" si="12"/>
        <v>6.0475286266397791E-3</v>
      </c>
      <c r="CO25" s="131">
        <f t="shared" si="12"/>
        <v>7.6211333287875674E-2</v>
      </c>
      <c r="CP25" s="131">
        <f t="shared" si="12"/>
        <v>4.0844212239122615E-2</v>
      </c>
      <c r="CQ25" s="131">
        <f t="shared" si="12"/>
        <v>1.3463215298152512E-2</v>
      </c>
      <c r="CR25" s="131">
        <f t="shared" si="12"/>
        <v>2.4871964023556729E-2</v>
      </c>
      <c r="CS25" s="131">
        <f t="shared" si="12"/>
        <v>2.5</v>
      </c>
      <c r="CT25" s="132">
        <f t="shared" si="15"/>
        <v>2.5076518878656007</v>
      </c>
      <c r="CU25" s="132">
        <f t="shared" si="15"/>
        <v>0</v>
      </c>
      <c r="CV25" s="132">
        <f t="shared" si="15"/>
        <v>0.22019776842205674</v>
      </c>
      <c r="CW25" s="132">
        <f t="shared" si="15"/>
        <v>2.0544665727483053E-2</v>
      </c>
      <c r="CX25" s="132">
        <f t="shared" si="15"/>
        <v>8.3292783717206206E-2</v>
      </c>
      <c r="CY25" s="132">
        <f t="shared" si="15"/>
        <v>0.38562462494041772</v>
      </c>
      <c r="CZ25" s="132">
        <f t="shared" si="15"/>
        <v>0.79633957905496933</v>
      </c>
      <c r="DA25" s="132">
        <f t="shared" si="15"/>
        <v>0.15744965043233355</v>
      </c>
      <c r="DB25" s="132">
        <f t="shared" si="15"/>
        <v>0.14033652734422725</v>
      </c>
      <c r="DC25" s="132">
        <f t="shared" si="15"/>
        <v>23.32291393736558</v>
      </c>
      <c r="DD25" s="132">
        <f t="shared" si="15"/>
        <v>0.23731089151016299</v>
      </c>
      <c r="DE25" s="132">
        <f t="shared" si="15"/>
        <v>0.18026714788314199</v>
      </c>
      <c r="DF25" s="132">
        <f t="shared" si="15"/>
        <v>0.28865026077448203</v>
      </c>
      <c r="DG25" s="132">
        <f t="shared" si="15"/>
        <v>1.9429188259580923</v>
      </c>
      <c r="DH25" s="132">
        <f t="shared" si="15"/>
        <v>1.4840291364780945E-2</v>
      </c>
      <c r="DI25" s="132">
        <f t="shared" si="15"/>
        <v>1.4840291364780945E-2</v>
      </c>
      <c r="DJ25" s="132">
        <f t="shared" si="25"/>
        <v>4.906653754099357E-2</v>
      </c>
      <c r="DK25" s="132">
        <f t="shared" si="25"/>
        <v>1.4840291364780945E-2</v>
      </c>
      <c r="DL25" s="132">
        <f t="shared" si="25"/>
        <v>25</v>
      </c>
      <c r="DM25" s="132">
        <f t="shared" si="25"/>
        <v>6.0475286266397789E-2</v>
      </c>
      <c r="DN25" s="132">
        <f t="shared" si="25"/>
        <v>0.76211333287875671</v>
      </c>
      <c r="DO25" s="132">
        <f t="shared" si="25"/>
        <v>0.40844212239122613</v>
      </c>
      <c r="DP25" s="132">
        <f t="shared" si="25"/>
        <v>0.13463215298152512</v>
      </c>
      <c r="DQ25" s="132">
        <f t="shared" si="25"/>
        <v>0.24871964023556728</v>
      </c>
      <c r="DR25" s="58"/>
    </row>
    <row r="26" spans="1:122" ht="84">
      <c r="A26" s="50">
        <v>2017</v>
      </c>
      <c r="B26" s="51" t="s">
        <v>174</v>
      </c>
      <c r="C26" s="52">
        <f>+VLOOKUP(B26,'Indice por pilar'!$B$9:$C$20,2,FALSE)</f>
        <v>0.1</v>
      </c>
      <c r="D26" s="52">
        <f>+VLOOKUP(B26,[1]PONDERACIÓN!$B$22:$E$33,4,FALSE)</f>
        <v>0.25</v>
      </c>
      <c r="E26" s="53" t="s">
        <v>124</v>
      </c>
      <c r="F26" s="59" t="s">
        <v>183</v>
      </c>
      <c r="G26" s="60" t="s">
        <v>184</v>
      </c>
      <c r="H26" s="60" t="s">
        <v>180</v>
      </c>
      <c r="I26" s="60">
        <v>2017</v>
      </c>
      <c r="J26" s="60" t="s">
        <v>131</v>
      </c>
      <c r="K26" s="64">
        <v>0.11269999999999999</v>
      </c>
      <c r="L26" s="64">
        <v>3.5999999999999997E-2</v>
      </c>
      <c r="M26" s="64">
        <v>5.7599999999999998E-2</v>
      </c>
      <c r="N26" s="64">
        <v>4.8399999999999999E-2</v>
      </c>
      <c r="O26" s="64">
        <v>8.1100000000000005E-2</v>
      </c>
      <c r="P26" s="64">
        <v>6.7799999999999999E-2</v>
      </c>
      <c r="Q26" s="64">
        <v>4.5199999999999997E-2</v>
      </c>
      <c r="R26" s="64">
        <v>6.5299999999999997E-2</v>
      </c>
      <c r="S26" s="74">
        <v>1.7399999999999999E-2</v>
      </c>
      <c r="T26" s="64">
        <v>7.2499999999999995E-2</v>
      </c>
      <c r="U26" s="64">
        <v>8.4900000000000003E-2</v>
      </c>
      <c r="V26" s="64">
        <v>6.7100000000000007E-2</v>
      </c>
      <c r="W26" s="64">
        <v>5.6800000000000003E-2</v>
      </c>
      <c r="X26" s="64">
        <v>7.5499999999999998E-2</v>
      </c>
      <c r="Y26" s="64">
        <v>3.44E-2</v>
      </c>
      <c r="Z26" s="64">
        <v>2.2499999999999999E-2</v>
      </c>
      <c r="AA26" s="64">
        <v>5.1200000000000002E-2</v>
      </c>
      <c r="AB26" s="64">
        <v>4.2000000000000003E-2</v>
      </c>
      <c r="AC26" s="64">
        <v>8.9399999999999993E-2</v>
      </c>
      <c r="AD26" s="64">
        <v>7.6899999999999996E-2</v>
      </c>
      <c r="AE26" s="64">
        <v>0.15129999999999999</v>
      </c>
      <c r="AF26" s="64">
        <v>5.1999999999999998E-3</v>
      </c>
      <c r="AG26" s="64">
        <v>7.3099999999999998E-2</v>
      </c>
      <c r="AH26" s="65">
        <v>6.88E-2</v>
      </c>
      <c r="AI26" s="124">
        <f t="shared" si="0"/>
        <v>6.2629166666666666E-2</v>
      </c>
      <c r="AJ26" s="124">
        <f t="shared" si="1"/>
        <v>3.1049476354425981E-2</v>
      </c>
      <c r="AK26" s="125">
        <f t="shared" si="2"/>
        <v>0.49576703646212733</v>
      </c>
      <c r="AL26" s="125" t="str">
        <f>+HLOOKUP(AN26,$K26:$AH$68,43,FALSE)</f>
        <v>Zamora Chinchipe</v>
      </c>
      <c r="AM26" s="135">
        <f t="shared" si="3"/>
        <v>0.15129999999999999</v>
      </c>
      <c r="AN26" s="135">
        <f t="shared" si="4"/>
        <v>5.1999999999999998E-3</v>
      </c>
      <c r="AO26" s="124">
        <f t="shared" si="5"/>
        <v>29.096153846153847</v>
      </c>
      <c r="AP26" s="135">
        <f t="shared" si="22"/>
        <v>0.15129999999999999</v>
      </c>
      <c r="AQ26" s="139">
        <f>+HLOOKUP($AQ$3,$K$3:$AH$67,24,FALSE)</f>
        <v>7.2499999999999995E-2</v>
      </c>
      <c r="AR26" s="134">
        <f>(((K26-$AN26)/($AM26-$AN26))*100)</f>
        <v>73.579739904175227</v>
      </c>
      <c r="AS26" s="134">
        <f>(((L26-$AN26)/($AM26-$AN26))*100)</f>
        <v>21.081451060917182</v>
      </c>
      <c r="AT26" s="134">
        <f>(((M26-$AN26)/($AM26-$AN26))*100)</f>
        <v>35.865845311430533</v>
      </c>
      <c r="AU26" s="134">
        <f>(((N26-$AN26)/($AM26-$AN26))*100)</f>
        <v>29.568788501026699</v>
      </c>
      <c r="AV26" s="134">
        <f>(((O26-$AN26)/($AM26-$AN26))*100)</f>
        <v>51.950718685831632</v>
      </c>
      <c r="AW26" s="134">
        <f>(((P26-$AN26)/($AM26-$AN26))*100)</f>
        <v>42.847364818617393</v>
      </c>
      <c r="AX26" s="134">
        <f>(((Q26-$AN26)/($AM26-$AN26))*100)</f>
        <v>27.378507871321013</v>
      </c>
      <c r="AY26" s="134">
        <f>(((R26-$AN26)/($AM26-$AN26))*100)</f>
        <v>41.136208076659827</v>
      </c>
      <c r="AZ26" s="134">
        <f>(((S26-$AN26)/($AM26-$AN26))*100)</f>
        <v>8.35044490075291</v>
      </c>
      <c r="BA26" s="134">
        <f>(((T26-$AN26)/($AM26-$AN26))*100)</f>
        <v>46.064339493497606</v>
      </c>
      <c r="BB26" s="134">
        <f>(((U26-$AN26)/($AM26-$AN26))*100)</f>
        <v>54.551676933607126</v>
      </c>
      <c r="BC26" s="134">
        <f>(((V26-$AN26)/($AM26-$AN26))*100)</f>
        <v>42.368240930869284</v>
      </c>
      <c r="BD26" s="134">
        <f>(((W26-$AN26)/($AM26-$AN26))*100)</f>
        <v>35.318275154004112</v>
      </c>
      <c r="BE26" s="134">
        <f>(((X26-$AN26)/($AM26-$AN26))*100)</f>
        <v>48.117727583846687</v>
      </c>
      <c r="BF26" s="134">
        <f>(((Y26-$AN26)/($AM26-$AN26))*100)</f>
        <v>19.986310746064344</v>
      </c>
      <c r="BG26" s="134">
        <f>(((Z26-$AN26)/($AM26-$AN26))*100)</f>
        <v>11.84120465434634</v>
      </c>
      <c r="BH26" s="134">
        <f>(((AA26-$AN26)/($AM26-$AN26))*100)</f>
        <v>31.485284052019168</v>
      </c>
      <c r="BI26" s="134">
        <f>(((AB26-$AN26)/($AM26-$AN26))*100)</f>
        <v>25.188227241615337</v>
      </c>
      <c r="BJ26" s="134">
        <f>(((AC26-$AN26)/($AM26-$AN26))*100)</f>
        <v>57.631759069130737</v>
      </c>
      <c r="BK26" s="134">
        <f>(((AD26-$AN26)/($AM26-$AN26))*100)</f>
        <v>49.07597535934292</v>
      </c>
      <c r="BL26" s="134">
        <f>(((AE26-$AN26)/($AM26-$AN26))*100)</f>
        <v>100</v>
      </c>
      <c r="BM26" s="134">
        <f>(((AF26-$AN26)/($AM26-$AN26))*100)</f>
        <v>0</v>
      </c>
      <c r="BN26" s="134">
        <f>(((AG26-$AN26)/($AM26-$AN26))*100)</f>
        <v>46.475017111567432</v>
      </c>
      <c r="BO26" s="134">
        <f>(((AH26-$AN26)/($AM26-$AN26))*100)</f>
        <v>43.531827515400416</v>
      </c>
      <c r="BP26" s="129">
        <f t="shared" si="6"/>
        <v>100</v>
      </c>
      <c r="BQ26" s="129">
        <f t="shared" si="7"/>
        <v>0</v>
      </c>
      <c r="BR26" s="129">
        <f t="shared" si="8"/>
        <v>39.3081222906685</v>
      </c>
      <c r="BS26" s="129">
        <f t="shared" si="9"/>
        <v>21.252208319251189</v>
      </c>
      <c r="BT26" s="130">
        <f t="shared" si="10"/>
        <v>0.54065691976073682</v>
      </c>
      <c r="BU26" s="131">
        <f t="shared" si="23"/>
        <v>1.8394934976043809</v>
      </c>
      <c r="BV26" s="131">
        <f t="shared" si="23"/>
        <v>0.52703627652292961</v>
      </c>
      <c r="BW26" s="131">
        <f t="shared" si="23"/>
        <v>0.89664613278576333</v>
      </c>
      <c r="BX26" s="131">
        <f t="shared" si="23"/>
        <v>0.73921971252566754</v>
      </c>
      <c r="BY26" s="131">
        <f t="shared" si="23"/>
        <v>1.2987679671457908</v>
      </c>
      <c r="BZ26" s="131">
        <f t="shared" si="23"/>
        <v>1.0711841204654349</v>
      </c>
      <c r="CA26" s="131">
        <f t="shared" si="23"/>
        <v>0.6844626967830254</v>
      </c>
      <c r="CB26" s="131">
        <f t="shared" si="23"/>
        <v>1.0284052019164958</v>
      </c>
      <c r="CC26" s="131">
        <f t="shared" si="23"/>
        <v>0.20876112251882276</v>
      </c>
      <c r="CD26" s="131">
        <f t="shared" si="23"/>
        <v>1.1516084873374401</v>
      </c>
      <c r="CE26" s="131">
        <f t="shared" si="23"/>
        <v>1.3637919233401783</v>
      </c>
      <c r="CF26" s="131">
        <f t="shared" si="23"/>
        <v>1.0592060232717322</v>
      </c>
      <c r="CG26" s="131">
        <f t="shared" si="23"/>
        <v>0.88295687885010288</v>
      </c>
      <c r="CH26" s="131">
        <f t="shared" si="23"/>
        <v>1.2029431895961673</v>
      </c>
      <c r="CI26" s="131">
        <f t="shared" si="23"/>
        <v>0.4996577686516086</v>
      </c>
      <c r="CJ26" s="131">
        <f t="shared" si="24"/>
        <v>0.2960301163586585</v>
      </c>
      <c r="CK26" s="131">
        <f t="shared" si="12"/>
        <v>0.78713210130047928</v>
      </c>
      <c r="CL26" s="131">
        <f t="shared" si="12"/>
        <v>0.62970568104038349</v>
      </c>
      <c r="CM26" s="131">
        <f t="shared" si="12"/>
        <v>1.4407939767282685</v>
      </c>
      <c r="CN26" s="131">
        <f t="shared" si="12"/>
        <v>1.2268993839835731</v>
      </c>
      <c r="CO26" s="131">
        <f t="shared" si="12"/>
        <v>2.5</v>
      </c>
      <c r="CP26" s="131">
        <f t="shared" si="12"/>
        <v>0</v>
      </c>
      <c r="CQ26" s="131">
        <f t="shared" si="12"/>
        <v>1.1618754277891858</v>
      </c>
      <c r="CR26" s="131">
        <f t="shared" si="12"/>
        <v>1.0882956878850105</v>
      </c>
      <c r="CS26" s="131">
        <f t="shared" si="12"/>
        <v>2.5</v>
      </c>
      <c r="CT26" s="132">
        <f t="shared" si="15"/>
        <v>18.394934976043807</v>
      </c>
      <c r="CU26" s="132">
        <f t="shared" si="15"/>
        <v>5.2703627652292955</v>
      </c>
      <c r="CV26" s="132">
        <f t="shared" si="15"/>
        <v>8.9664613278576333</v>
      </c>
      <c r="CW26" s="132">
        <f t="shared" si="15"/>
        <v>7.3921971252566747</v>
      </c>
      <c r="CX26" s="132">
        <f t="shared" si="15"/>
        <v>12.987679671457908</v>
      </c>
      <c r="CY26" s="132">
        <f t="shared" si="15"/>
        <v>10.711841204654348</v>
      </c>
      <c r="CZ26" s="132">
        <f t="shared" si="15"/>
        <v>6.8446269678302532</v>
      </c>
      <c r="DA26" s="132">
        <f t="shared" si="15"/>
        <v>10.284052019164957</v>
      </c>
      <c r="DB26" s="132">
        <f t="shared" si="15"/>
        <v>2.0876112251882275</v>
      </c>
      <c r="DC26" s="132">
        <f t="shared" si="15"/>
        <v>11.516084873374401</v>
      </c>
      <c r="DD26" s="132">
        <f t="shared" si="15"/>
        <v>13.637919233401782</v>
      </c>
      <c r="DE26" s="132">
        <f t="shared" si="15"/>
        <v>10.592060232717321</v>
      </c>
      <c r="DF26" s="132">
        <f t="shared" si="15"/>
        <v>8.8295687885010281</v>
      </c>
      <c r="DG26" s="132">
        <f t="shared" si="15"/>
        <v>12.029431895961672</v>
      </c>
      <c r="DH26" s="132">
        <f t="shared" si="15"/>
        <v>4.996577686516086</v>
      </c>
      <c r="DI26" s="132">
        <f t="shared" si="15"/>
        <v>2.960301163586585</v>
      </c>
      <c r="DJ26" s="132">
        <f t="shared" si="25"/>
        <v>7.8713210130047919</v>
      </c>
      <c r="DK26" s="132">
        <f t="shared" si="25"/>
        <v>6.2970568104038342</v>
      </c>
      <c r="DL26" s="132">
        <f t="shared" si="25"/>
        <v>14.407939767282684</v>
      </c>
      <c r="DM26" s="132">
        <f t="shared" si="25"/>
        <v>12.26899383983573</v>
      </c>
      <c r="DN26" s="132">
        <f t="shared" si="25"/>
        <v>25</v>
      </c>
      <c r="DO26" s="132">
        <f t="shared" si="25"/>
        <v>0</v>
      </c>
      <c r="DP26" s="132">
        <f t="shared" si="25"/>
        <v>11.618754277891858</v>
      </c>
      <c r="DQ26" s="132">
        <f t="shared" si="25"/>
        <v>10.882956878850104</v>
      </c>
      <c r="DR26" s="58"/>
    </row>
    <row r="27" spans="1:122" ht="42">
      <c r="A27" s="50">
        <v>2017</v>
      </c>
      <c r="B27" s="51" t="s">
        <v>185</v>
      </c>
      <c r="C27" s="52">
        <f>+VLOOKUP(B27,'Indice por pilar'!$B$9:$C$20,2,FALSE)</f>
        <v>0.05</v>
      </c>
      <c r="D27" s="52">
        <f>+VLOOKUP(B27,[1]PONDERACIÓN!$B$22:$E$33,4,FALSE)</f>
        <v>0.2</v>
      </c>
      <c r="E27" s="53" t="s">
        <v>124</v>
      </c>
      <c r="F27" s="71" t="s">
        <v>186</v>
      </c>
      <c r="G27" s="60" t="s">
        <v>187</v>
      </c>
      <c r="H27" s="60" t="s">
        <v>351</v>
      </c>
      <c r="I27" s="60">
        <v>2013</v>
      </c>
      <c r="J27" s="60" t="s">
        <v>131</v>
      </c>
      <c r="K27" s="64">
        <v>0.21049999999999999</v>
      </c>
      <c r="L27" s="64">
        <v>0.1069</v>
      </c>
      <c r="M27" s="64">
        <v>0.24990000000000001</v>
      </c>
      <c r="N27" s="64">
        <v>0.22040000000000001</v>
      </c>
      <c r="O27" s="64">
        <v>0.20180000000000001</v>
      </c>
      <c r="P27" s="64">
        <v>0.19040000000000001</v>
      </c>
      <c r="Q27" s="64">
        <v>0.25779999999999997</v>
      </c>
      <c r="R27" s="64">
        <v>0.16650000000000001</v>
      </c>
      <c r="S27" s="64">
        <v>0.25130000000000002</v>
      </c>
      <c r="T27" s="64">
        <v>0.36699999999999999</v>
      </c>
      <c r="U27" s="64">
        <v>0.31740000000000002</v>
      </c>
      <c r="V27" s="64">
        <v>0.22700000000000001</v>
      </c>
      <c r="W27" s="64">
        <v>0.12909999999999999</v>
      </c>
      <c r="X27" s="64">
        <v>0.1953</v>
      </c>
      <c r="Y27" s="64">
        <v>8.9599999999999999E-2</v>
      </c>
      <c r="Z27" s="64">
        <v>7.8200000000000006E-2</v>
      </c>
      <c r="AA27" s="64">
        <v>0.14499999999999999</v>
      </c>
      <c r="AB27" s="64">
        <v>0.14630000000000001</v>
      </c>
      <c r="AC27" s="64">
        <v>0.40570000000000001</v>
      </c>
      <c r="AD27" s="64">
        <v>0.10639999999999999</v>
      </c>
      <c r="AE27" s="64">
        <v>0.28110000000000002</v>
      </c>
      <c r="AF27" s="64">
        <v>0.11</v>
      </c>
      <c r="AG27" s="64">
        <v>0.28489999999999999</v>
      </c>
      <c r="AH27" s="65">
        <v>0.26329999999999998</v>
      </c>
      <c r="AI27" s="124">
        <f t="shared" si="0"/>
        <v>0.20840833333333339</v>
      </c>
      <c r="AJ27" s="124">
        <f t="shared" si="1"/>
        <v>8.710930623006953E-2</v>
      </c>
      <c r="AK27" s="125">
        <f t="shared" si="2"/>
        <v>0.4179741991926243</v>
      </c>
      <c r="AL27" s="125" t="str">
        <f>+HLOOKUP(AN27,$K27:$AH$68,42,FALSE)</f>
        <v>Napo</v>
      </c>
      <c r="AM27" s="135">
        <f t="shared" si="3"/>
        <v>0.40570000000000001</v>
      </c>
      <c r="AN27" s="135">
        <f t="shared" si="4"/>
        <v>7.8200000000000006E-2</v>
      </c>
      <c r="AO27" s="124">
        <f t="shared" si="5"/>
        <v>5.187979539641943</v>
      </c>
      <c r="AP27" s="135">
        <f t="shared" si="22"/>
        <v>0.40570000000000001</v>
      </c>
      <c r="AQ27" s="139">
        <f>+HLOOKUP($AQ$3,$K$3:$AH$67,25,FALSE)</f>
        <v>0.36699999999999999</v>
      </c>
      <c r="AR27" s="134">
        <f>(((K27-$AN27)/($AM27-$AN27))*100)</f>
        <v>40.396946564885489</v>
      </c>
      <c r="AS27" s="134">
        <f>(((L27-$AN27)/($AM27-$AN27))*100)</f>
        <v>8.7633587786259497</v>
      </c>
      <c r="AT27" s="134">
        <f>(((M27-$AN27)/($AM27-$AN27))*100)</f>
        <v>52.427480916030532</v>
      </c>
      <c r="AU27" s="134">
        <f>(((N27-$AN27)/($AM27-$AN27))*100)</f>
        <v>43.419847328244273</v>
      </c>
      <c r="AV27" s="134">
        <f>(((O27-$AN27)/($AM27-$AN27))*100)</f>
        <v>37.740458015267173</v>
      </c>
      <c r="AW27" s="134">
        <f>(((P27-$AN27)/($AM27-$AN27))*100)</f>
        <v>34.259541984732827</v>
      </c>
      <c r="AX27" s="134">
        <f>(((Q27-$AN27)/($AM27-$AN27))*100)</f>
        <v>54.839694656488547</v>
      </c>
      <c r="AY27" s="134">
        <f>(((R27-$AN27)/($AM27-$AN27))*100)</f>
        <v>26.961832061068701</v>
      </c>
      <c r="AZ27" s="134">
        <f>(((S27-$AN27)/($AM27-$AN27))*100)</f>
        <v>52.854961832061079</v>
      </c>
      <c r="BA27" s="134">
        <f>(((T27-$AN27)/($AM27-$AN27))*100)</f>
        <v>88.18320610687023</v>
      </c>
      <c r="BB27" s="134">
        <f>(((U27-$AN27)/($AM27-$AN27))*100)</f>
        <v>73.038167938931295</v>
      </c>
      <c r="BC27" s="134">
        <f>(((V27-$AN27)/($AM27-$AN27))*100)</f>
        <v>45.435114503816784</v>
      </c>
      <c r="BD27" s="134">
        <f>(((W27-$AN27)/($AM27-$AN27))*100)</f>
        <v>15.541984732824424</v>
      </c>
      <c r="BE27" s="134">
        <f>(((X27-$AN27)/($AM27-$AN27))*100)</f>
        <v>35.755725190839691</v>
      </c>
      <c r="BF27" s="134">
        <f>(((Y27-$AN27)/($AM27-$AN27))*100)</f>
        <v>3.4809160305343494</v>
      </c>
      <c r="BG27" s="134">
        <f>(((Z27-$AN27)/($AM27-$AN27))*100)</f>
        <v>0</v>
      </c>
      <c r="BH27" s="134">
        <f>(((AA27-$AN27)/($AM27-$AN27))*100)</f>
        <v>20.396946564885489</v>
      </c>
      <c r="BI27" s="134">
        <f>(((AB27-$AN27)/($AM27-$AN27))*100)</f>
        <v>20.793893129770993</v>
      </c>
      <c r="BJ27" s="134">
        <f>(((AC27-$AN27)/($AM27-$AN27))*100)</f>
        <v>100</v>
      </c>
      <c r="BK27" s="134">
        <f>(((AD27-$AN27)/($AM27-$AN27))*100)</f>
        <v>8.610687022900759</v>
      </c>
      <c r="BL27" s="134">
        <f>(((AE27-$AN27)/($AM27-$AN27))*100)</f>
        <v>61.954198473282453</v>
      </c>
      <c r="BM27" s="134">
        <f>(((AF27-$AN27)/($AM27-$AN27))*100)</f>
        <v>9.7099236641221367</v>
      </c>
      <c r="BN27" s="134">
        <f>(((AG27-$AN27)/($AM27-$AN27))*100)</f>
        <v>63.114503816793885</v>
      </c>
      <c r="BO27" s="134">
        <f>(((AH27-$AN27)/($AM27-$AN27))*100)</f>
        <v>56.519083969465647</v>
      </c>
      <c r="BP27" s="129">
        <f t="shared" si="6"/>
        <v>100</v>
      </c>
      <c r="BQ27" s="129">
        <f t="shared" si="7"/>
        <v>0</v>
      </c>
      <c r="BR27" s="129">
        <f t="shared" si="8"/>
        <v>39.758269720101772</v>
      </c>
      <c r="BS27" s="129">
        <f t="shared" si="9"/>
        <v>26.598261444296103</v>
      </c>
      <c r="BT27" s="130">
        <f t="shared" si="10"/>
        <v>0.66899947184693576</v>
      </c>
      <c r="BU27" s="131">
        <f t="shared" si="23"/>
        <v>0.40396946564885489</v>
      </c>
      <c r="BV27" s="131">
        <f t="shared" si="23"/>
        <v>8.7633587786259515E-2</v>
      </c>
      <c r="BW27" s="131">
        <f t="shared" si="23"/>
        <v>0.52427480916030544</v>
      </c>
      <c r="BX27" s="131">
        <f t="shared" si="23"/>
        <v>0.43419847328244282</v>
      </c>
      <c r="BY27" s="131">
        <f t="shared" si="23"/>
        <v>0.37740458015267175</v>
      </c>
      <c r="BZ27" s="131">
        <f t="shared" si="23"/>
        <v>0.34259541984732833</v>
      </c>
      <c r="CA27" s="131">
        <f t="shared" si="23"/>
        <v>0.54839694656488547</v>
      </c>
      <c r="CB27" s="131">
        <f t="shared" si="23"/>
        <v>0.26961832061068702</v>
      </c>
      <c r="CC27" s="131">
        <f t="shared" si="23"/>
        <v>0.52854961832061087</v>
      </c>
      <c r="CD27" s="131">
        <f t="shared" si="23"/>
        <v>0.88183206106870227</v>
      </c>
      <c r="CE27" s="131">
        <f t="shared" si="23"/>
        <v>0.73038167938931309</v>
      </c>
      <c r="CF27" s="131">
        <f t="shared" si="23"/>
        <v>0.45435114503816787</v>
      </c>
      <c r="CG27" s="131">
        <f t="shared" si="23"/>
        <v>0.15541984732824426</v>
      </c>
      <c r="CH27" s="131">
        <f t="shared" si="23"/>
        <v>0.35755725190839693</v>
      </c>
      <c r="CI27" s="131">
        <f t="shared" si="23"/>
        <v>3.4809160305343499E-2</v>
      </c>
      <c r="CJ27" s="131">
        <f t="shared" si="24"/>
        <v>0</v>
      </c>
      <c r="CK27" s="131">
        <f t="shared" si="12"/>
        <v>0.20396946564885493</v>
      </c>
      <c r="CL27" s="131">
        <f t="shared" si="12"/>
        <v>0.20793893129770993</v>
      </c>
      <c r="CM27" s="131">
        <f t="shared" si="12"/>
        <v>1</v>
      </c>
      <c r="CN27" s="131">
        <f t="shared" si="12"/>
        <v>8.6106870229007593E-2</v>
      </c>
      <c r="CO27" s="131">
        <f t="shared" si="12"/>
        <v>0.61954198473282462</v>
      </c>
      <c r="CP27" s="131">
        <f t="shared" si="12"/>
        <v>9.7099236641221387E-2</v>
      </c>
      <c r="CQ27" s="131">
        <f t="shared" si="12"/>
        <v>0.63114503816793899</v>
      </c>
      <c r="CR27" s="131">
        <f t="shared" si="12"/>
        <v>0.56519083969465655</v>
      </c>
      <c r="CS27" s="131">
        <f t="shared" si="12"/>
        <v>1</v>
      </c>
      <c r="CT27" s="132">
        <f t="shared" si="15"/>
        <v>8.0793893129770975</v>
      </c>
      <c r="CU27" s="132">
        <f t="shared" si="15"/>
        <v>1.7526717557251901</v>
      </c>
      <c r="CV27" s="132">
        <f t="shared" si="15"/>
        <v>10.485496183206108</v>
      </c>
      <c r="CW27" s="132">
        <f t="shared" si="15"/>
        <v>8.6839694656488557</v>
      </c>
      <c r="CX27" s="132">
        <f t="shared" si="15"/>
        <v>7.5480916030534351</v>
      </c>
      <c r="CY27" s="132">
        <f t="shared" si="15"/>
        <v>6.8519083969465662</v>
      </c>
      <c r="CZ27" s="132">
        <f t="shared" si="15"/>
        <v>10.967938931297709</v>
      </c>
      <c r="DA27" s="132">
        <f t="shared" si="15"/>
        <v>5.3923664122137405</v>
      </c>
      <c r="DB27" s="132">
        <f t="shared" si="15"/>
        <v>10.570992366412217</v>
      </c>
      <c r="DC27" s="132">
        <f t="shared" si="15"/>
        <v>17.636641221374045</v>
      </c>
      <c r="DD27" s="132">
        <f t="shared" si="15"/>
        <v>14.60763358778626</v>
      </c>
      <c r="DE27" s="132">
        <f t="shared" si="15"/>
        <v>9.0870229007633565</v>
      </c>
      <c r="DF27" s="132">
        <f t="shared" si="15"/>
        <v>3.1083969465648851</v>
      </c>
      <c r="DG27" s="132">
        <f t="shared" si="15"/>
        <v>7.1511450381679387</v>
      </c>
      <c r="DH27" s="132">
        <f t="shared" si="15"/>
        <v>0.6961832061068699</v>
      </c>
      <c r="DI27" s="132">
        <f t="shared" si="15"/>
        <v>0</v>
      </c>
      <c r="DJ27" s="132">
        <f t="shared" si="25"/>
        <v>4.0793893129770984</v>
      </c>
      <c r="DK27" s="132">
        <f t="shared" si="25"/>
        <v>4.1587786259541986</v>
      </c>
      <c r="DL27" s="132">
        <f t="shared" si="25"/>
        <v>20</v>
      </c>
      <c r="DM27" s="132">
        <f t="shared" si="25"/>
        <v>1.7221374045801519</v>
      </c>
      <c r="DN27" s="132">
        <f t="shared" si="25"/>
        <v>12.390839694656492</v>
      </c>
      <c r="DO27" s="132">
        <f t="shared" si="25"/>
        <v>1.9419847328244275</v>
      </c>
      <c r="DP27" s="132">
        <f t="shared" si="25"/>
        <v>12.622900763358778</v>
      </c>
      <c r="DQ27" s="132">
        <f t="shared" si="25"/>
        <v>11.30381679389313</v>
      </c>
      <c r="DR27" s="58"/>
    </row>
    <row r="28" spans="1:122" ht="70">
      <c r="A28" s="50">
        <v>2017</v>
      </c>
      <c r="B28" s="51" t="s">
        <v>185</v>
      </c>
      <c r="C28" s="52">
        <f>+VLOOKUP(B28,'Indice por pilar'!$B$9:$C$20,2,FALSE)</f>
        <v>0.05</v>
      </c>
      <c r="D28" s="52">
        <f>+VLOOKUP(B28,[1]PONDERACIÓN!$B$22:$E$33,4,FALSE)</f>
        <v>0.2</v>
      </c>
      <c r="E28" s="67" t="s">
        <v>119</v>
      </c>
      <c r="F28" s="71" t="s">
        <v>188</v>
      </c>
      <c r="G28" s="60" t="s">
        <v>189</v>
      </c>
      <c r="H28" s="60" t="s">
        <v>353</v>
      </c>
      <c r="I28" s="60">
        <v>2017</v>
      </c>
      <c r="J28" s="60" t="s">
        <v>131</v>
      </c>
      <c r="K28" s="64">
        <v>0.23350000000000001</v>
      </c>
      <c r="L28" s="64">
        <v>0.17499999999999999</v>
      </c>
      <c r="M28" s="64">
        <v>0.36730000000000002</v>
      </c>
      <c r="N28" s="64">
        <v>0.15759999999999999</v>
      </c>
      <c r="O28" s="64">
        <v>0.18920000000000001</v>
      </c>
      <c r="P28" s="64">
        <v>0.22259999999999999</v>
      </c>
      <c r="Q28" s="64">
        <v>0.29149999999999998</v>
      </c>
      <c r="R28" s="64">
        <v>0.27250000000000002</v>
      </c>
      <c r="S28" s="64">
        <v>0.43130000000000002</v>
      </c>
      <c r="T28" s="64">
        <v>0.32169999999999999</v>
      </c>
      <c r="U28" s="64">
        <v>0.1517</v>
      </c>
      <c r="V28" s="64">
        <v>0.29959999999999998</v>
      </c>
      <c r="W28" s="64">
        <v>0.40749999999999997</v>
      </c>
      <c r="X28" s="64">
        <v>0.2165</v>
      </c>
      <c r="Y28" s="64">
        <v>0.1021</v>
      </c>
      <c r="Z28" s="64">
        <v>7.6100000000000001E-2</v>
      </c>
      <c r="AA28" s="64">
        <v>8.5300000000000001E-2</v>
      </c>
      <c r="AB28" s="64">
        <v>0.1085</v>
      </c>
      <c r="AC28" s="64">
        <v>0.42849999999999999</v>
      </c>
      <c r="AD28" s="64">
        <v>8.1299999999999997E-2</v>
      </c>
      <c r="AE28" s="64">
        <v>0.14449999999999999</v>
      </c>
      <c r="AF28" s="64">
        <v>0.22220000000000001</v>
      </c>
      <c r="AG28" s="64">
        <v>0.52470000000000006</v>
      </c>
      <c r="AH28" s="65">
        <v>0.25990000000000002</v>
      </c>
      <c r="AI28" s="124">
        <f t="shared" si="0"/>
        <v>0.24044166666666658</v>
      </c>
      <c r="AJ28" s="124">
        <f t="shared" si="1"/>
        <v>0.1243743889359398</v>
      </c>
      <c r="AK28" s="125">
        <f t="shared" si="2"/>
        <v>0.51727469144673976</v>
      </c>
      <c r="AL28" s="125" t="str">
        <f>+HLOOKUP(AN28,$K28:$AH$68,41,FALSE)</f>
        <v>Napo</v>
      </c>
      <c r="AM28" s="135">
        <f t="shared" si="3"/>
        <v>0.52470000000000006</v>
      </c>
      <c r="AN28" s="135">
        <f t="shared" si="4"/>
        <v>7.6100000000000001E-2</v>
      </c>
      <c r="AO28" s="124">
        <f t="shared" si="5"/>
        <v>6.8948751642575568</v>
      </c>
      <c r="AP28" s="135">
        <f>+AN28</f>
        <v>7.6100000000000001E-2</v>
      </c>
      <c r="AQ28" s="139">
        <f>+HLOOKUP($AQ$3,$K$3:$AH$67,26,FALSE)</f>
        <v>0.32169999999999999</v>
      </c>
      <c r="AR28" s="134">
        <f>100-(((K28-AN28)/(AM28-AN28))*100)</f>
        <v>64.913062862238064</v>
      </c>
      <c r="AS28" s="134">
        <f>100-(((L28-AR28)/(AN28-AR28))*100)</f>
        <v>0.15253644778232456</v>
      </c>
      <c r="AT28" s="134">
        <f>100-(((M28-AS28)/(AR28-AS28))*100)</f>
        <v>99.668372750951363</v>
      </c>
      <c r="AU28" s="134">
        <f>100-(((N28-AT28)/(AS28-AT28))*100)</f>
        <v>5.0881873737722572E-3</v>
      </c>
      <c r="AV28" s="134">
        <f>100-(((O28-AU28)/(AT28-AU28))*100)</f>
        <v>99.815266160018254</v>
      </c>
      <c r="AW28" s="134">
        <f>100-(((P28-AV28)/(AU28-AV28))*100)</f>
        <v>0.21792548319655225</v>
      </c>
      <c r="AX28" s="134">
        <f>100-(((Q28-AW28)/(AV28-AW28))*100)</f>
        <v>99.926128030825453</v>
      </c>
      <c r="AY28" s="134">
        <f>100-(((R28-AX28)/(AW28-AX28))*100)</f>
        <v>5.4734229891835184E-2</v>
      </c>
      <c r="AZ28" s="134">
        <f>100-(((S28-AY28)/(AX28-AY28))*100)</f>
        <v>99.622949319342894</v>
      </c>
      <c r="BA28" s="134">
        <f>100-(((T28-AZ28)/(AY28-AZ28))*100)</f>
        <v>0.26812348686610221</v>
      </c>
      <c r="BB28" s="134">
        <f>100-(((U28-BA28)/(AZ28-BA28))*100)</f>
        <v>100.11717949872148</v>
      </c>
      <c r="BC28" s="134">
        <f>100-(((V28-BB28)/(BA28-BB28))*100)</f>
        <v>3.1524096862924011E-2</v>
      </c>
      <c r="BD28" s="134">
        <f>100-(((W28-BC28)/(BB28-BC28))*100)</f>
        <v>99.624345864921921</v>
      </c>
      <c r="BE28" s="134">
        <f>100-(((X28-BD28)/(BC28-BD28))*100)</f>
        <v>0.1857321640789138</v>
      </c>
      <c r="BF28" s="134">
        <f>100-(((Y28-BE28)/(BD28-BE28))*100)</f>
        <v>100.08410431417569</v>
      </c>
      <c r="BG28" s="134">
        <f>100-(((Z28-BF28)/(BE28-BF28))*100)</f>
        <v>-0.10974369423577457</v>
      </c>
      <c r="BH28" s="134">
        <f>100-(((AA28-BG28)/(BF28-BG28))*100)</f>
        <v>99.805333662582356</v>
      </c>
      <c r="BI28" s="134">
        <f>100-(((AB28-BH28)/(BG28-BH28))*100)</f>
        <v>0.21842919007747241</v>
      </c>
      <c r="BJ28" s="134">
        <f>100-(((AC28-BI28)/(BH28-BI28))*100)</f>
        <v>99.789057797272406</v>
      </c>
      <c r="BK28" s="134">
        <f>100-(((AD28-BJ28)/(BI28-BJ28))*100)</f>
        <v>-0.13772052260354428</v>
      </c>
      <c r="BL28" s="134">
        <f>100-(((AE28-BK28)/(BJ28-BK28))*100)</f>
        <v>99.717572679367166</v>
      </c>
      <c r="BM28" s="134">
        <f>100-(((AF28-BL28)/(BK28-BL28))*100)</f>
        <v>0.36044210683509448</v>
      </c>
      <c r="BN28" s="134">
        <f>100-(((AG28-BM28)/(BL28-BM28))*100)</f>
        <v>99.83467931066609</v>
      </c>
      <c r="BO28" s="134">
        <f>100-(((AH28-BN28)/(BM28-BN28))*100)</f>
        <v>-0.10107351376727536</v>
      </c>
      <c r="BP28" s="129">
        <f t="shared" si="6"/>
        <v>100.11717949872148</v>
      </c>
      <c r="BQ28" s="129">
        <f t="shared" si="7"/>
        <v>-0.13772052260354428</v>
      </c>
      <c r="BR28" s="129">
        <f t="shared" si="8"/>
        <v>48.502668746393397</v>
      </c>
      <c r="BS28" s="129">
        <f t="shared" si="9"/>
        <v>49.937149083942124</v>
      </c>
      <c r="BT28" s="130">
        <f t="shared" si="10"/>
        <v>1.0295752867754395</v>
      </c>
      <c r="BU28" s="131">
        <f t="shared" si="23"/>
        <v>0.6491306286223808</v>
      </c>
      <c r="BV28" s="131">
        <f t="shared" si="23"/>
        <v>1.5253644778232458E-3</v>
      </c>
      <c r="BW28" s="131">
        <f t="shared" si="23"/>
        <v>0.99668372750951384</v>
      </c>
      <c r="BX28" s="131">
        <f t="shared" si="23"/>
        <v>5.0881873737722577E-5</v>
      </c>
      <c r="BY28" s="131">
        <f t="shared" si="23"/>
        <v>0.99815266160018268</v>
      </c>
      <c r="BZ28" s="131">
        <f t="shared" si="23"/>
        <v>2.1792548319655228E-3</v>
      </c>
      <c r="CA28" s="131">
        <f t="shared" si="23"/>
        <v>0.99926128030825456</v>
      </c>
      <c r="CB28" s="131">
        <f t="shared" si="23"/>
        <v>5.4734229891835191E-4</v>
      </c>
      <c r="CC28" s="131">
        <f t="shared" si="23"/>
        <v>0.99622949319342902</v>
      </c>
      <c r="CD28" s="131">
        <f t="shared" si="23"/>
        <v>2.6812348686610227E-3</v>
      </c>
      <c r="CE28" s="131">
        <f t="shared" si="23"/>
        <v>1.001171794987215</v>
      </c>
      <c r="CF28" s="131">
        <f t="shared" si="23"/>
        <v>3.1524096862924018E-4</v>
      </c>
      <c r="CG28" s="131">
        <f t="shared" si="23"/>
        <v>0.99624345864921937</v>
      </c>
      <c r="CH28" s="131">
        <f t="shared" si="23"/>
        <v>1.8573216407891382E-3</v>
      </c>
      <c r="CI28" s="131">
        <f t="shared" si="23"/>
        <v>1.0008410431417569</v>
      </c>
      <c r="CJ28" s="131">
        <f t="shared" si="24"/>
        <v>-1.0974369423577457E-3</v>
      </c>
      <c r="CK28" s="131">
        <f t="shared" si="12"/>
        <v>0.99805333662582363</v>
      </c>
      <c r="CL28" s="131">
        <f t="shared" si="12"/>
        <v>2.1842919007747244E-3</v>
      </c>
      <c r="CM28" s="131">
        <f t="shared" si="12"/>
        <v>0.99789057797272429</v>
      </c>
      <c r="CN28" s="131">
        <f t="shared" si="12"/>
        <v>-1.377205226035443E-3</v>
      </c>
      <c r="CO28" s="131">
        <f t="shared" si="12"/>
        <v>0.99717572679367172</v>
      </c>
      <c r="CP28" s="131">
        <f t="shared" si="12"/>
        <v>3.6044210683509451E-3</v>
      </c>
      <c r="CQ28" s="131">
        <f t="shared" si="12"/>
        <v>0.99834679310666097</v>
      </c>
      <c r="CR28" s="131">
        <f t="shared" si="12"/>
        <v>-1.0107351376727536E-3</v>
      </c>
      <c r="CS28" s="131">
        <f t="shared" si="12"/>
        <v>1.001171794987215</v>
      </c>
      <c r="CT28" s="132">
        <f t="shared" si="15"/>
        <v>12.982612572447614</v>
      </c>
      <c r="CU28" s="132">
        <f t="shared" si="15"/>
        <v>3.0507289556464912E-2</v>
      </c>
      <c r="CV28" s="132">
        <f t="shared" si="15"/>
        <v>19.933674550190275</v>
      </c>
      <c r="CW28" s="132">
        <f t="shared" si="15"/>
        <v>1.0176374747544515E-3</v>
      </c>
      <c r="CX28" s="132">
        <f t="shared" si="15"/>
        <v>19.963053232003652</v>
      </c>
      <c r="CY28" s="132">
        <f t="shared" si="15"/>
        <v>4.3585096639310456E-2</v>
      </c>
      <c r="CZ28" s="132">
        <f t="shared" si="15"/>
        <v>19.985225606165091</v>
      </c>
      <c r="DA28" s="132">
        <f t="shared" si="15"/>
        <v>1.0946845978367037E-2</v>
      </c>
      <c r="DB28" s="132">
        <f t="shared" si="15"/>
        <v>19.924589863868579</v>
      </c>
      <c r="DC28" s="132">
        <f t="shared" si="15"/>
        <v>5.3624697373220447E-2</v>
      </c>
      <c r="DD28" s="132">
        <f t="shared" si="15"/>
        <v>20.0234358997443</v>
      </c>
      <c r="DE28" s="132">
        <f t="shared" si="15"/>
        <v>6.304819372584803E-3</v>
      </c>
      <c r="DF28" s="132">
        <f t="shared" si="15"/>
        <v>19.924869172984387</v>
      </c>
      <c r="DG28" s="132">
        <f t="shared" si="15"/>
        <v>3.7146432815782761E-2</v>
      </c>
      <c r="DH28" s="132">
        <f t="shared" si="15"/>
        <v>20.016820862835139</v>
      </c>
      <c r="DI28" s="132">
        <f t="shared" si="15"/>
        <v>-2.1948738847154915E-2</v>
      </c>
      <c r="DJ28" s="132">
        <f t="shared" si="25"/>
        <v>19.961066732516471</v>
      </c>
      <c r="DK28" s="132">
        <f t="shared" si="25"/>
        <v>4.3685838015494485E-2</v>
      </c>
      <c r="DL28" s="132">
        <f t="shared" si="25"/>
        <v>19.957811559454484</v>
      </c>
      <c r="DM28" s="132">
        <f t="shared" si="25"/>
        <v>-2.7544104520708858E-2</v>
      </c>
      <c r="DN28" s="132">
        <f t="shared" si="25"/>
        <v>19.943514535873433</v>
      </c>
      <c r="DO28" s="132">
        <f t="shared" si="25"/>
        <v>7.2088421367018901E-2</v>
      </c>
      <c r="DP28" s="132">
        <f t="shared" si="25"/>
        <v>19.966935862133219</v>
      </c>
      <c r="DQ28" s="132">
        <f t="shared" si="25"/>
        <v>-2.0214702753455074E-2</v>
      </c>
      <c r="DR28" s="58"/>
    </row>
    <row r="29" spans="1:122" ht="56">
      <c r="A29" s="50">
        <v>2017</v>
      </c>
      <c r="B29" s="51" t="s">
        <v>185</v>
      </c>
      <c r="C29" s="52">
        <f>+VLOOKUP(B29,'Indice por pilar'!$B$9:$C$20,2,FALSE)</f>
        <v>0.05</v>
      </c>
      <c r="D29" s="52">
        <f>+VLOOKUP(B29,[1]PONDERACIÓN!$B$22:$E$33,4,FALSE)</f>
        <v>0.2</v>
      </c>
      <c r="E29" s="67" t="s">
        <v>124</v>
      </c>
      <c r="F29" s="71" t="s">
        <v>190</v>
      </c>
      <c r="G29" s="60" t="s">
        <v>191</v>
      </c>
      <c r="H29" s="60" t="s">
        <v>352</v>
      </c>
      <c r="I29" s="60">
        <v>2013</v>
      </c>
      <c r="J29" s="60" t="s">
        <v>131</v>
      </c>
      <c r="K29" s="64">
        <v>0.75970000000000004</v>
      </c>
      <c r="L29" s="64">
        <v>0.69689999999999996</v>
      </c>
      <c r="M29" s="64">
        <v>0.67520000000000002</v>
      </c>
      <c r="N29" s="64">
        <v>0.77010000000000001</v>
      </c>
      <c r="O29" s="64">
        <v>0.72909999999999997</v>
      </c>
      <c r="P29" s="64">
        <v>0.73899999999999999</v>
      </c>
      <c r="Q29" s="64">
        <v>0.75439999999999996</v>
      </c>
      <c r="R29" s="64">
        <v>0.68979999999999997</v>
      </c>
      <c r="S29" s="64">
        <v>0.7298</v>
      </c>
      <c r="T29" s="64">
        <v>0.7984</v>
      </c>
      <c r="U29" s="64">
        <v>0.71550000000000002</v>
      </c>
      <c r="V29" s="64">
        <v>0.69369999999999998</v>
      </c>
      <c r="W29" s="64">
        <v>0.69740000000000002</v>
      </c>
      <c r="X29" s="64">
        <v>0.73619999999999997</v>
      </c>
      <c r="Y29" s="64">
        <v>0.78979999999999995</v>
      </c>
      <c r="Z29" s="64">
        <v>0.82579999999999998</v>
      </c>
      <c r="AA29" s="64">
        <v>0.85289999999999999</v>
      </c>
      <c r="AB29" s="64">
        <v>0.80769999999999997</v>
      </c>
      <c r="AC29" s="64">
        <v>0.89480000000000004</v>
      </c>
      <c r="AD29" s="64">
        <v>0.82450000000000001</v>
      </c>
      <c r="AE29" s="64">
        <v>0.64659999999999995</v>
      </c>
      <c r="AF29" s="64">
        <v>0.7873</v>
      </c>
      <c r="AG29" s="64">
        <v>0.755</v>
      </c>
      <c r="AH29" s="65">
        <v>0.82779999999999998</v>
      </c>
      <c r="AI29" s="124">
        <f t="shared" si="0"/>
        <v>0.75822499999999993</v>
      </c>
      <c r="AJ29" s="124">
        <f t="shared" si="1"/>
        <v>6.1673560327568745E-2</v>
      </c>
      <c r="AK29" s="125">
        <f t="shared" si="2"/>
        <v>8.1339391773640746E-2</v>
      </c>
      <c r="AL29" s="125" t="str">
        <f>+HLOOKUP(AN29,$K29:$AH$68,40,FALSE)</f>
        <v>Tungurahua</v>
      </c>
      <c r="AM29" s="135">
        <f t="shared" si="3"/>
        <v>0.89480000000000004</v>
      </c>
      <c r="AN29" s="135">
        <f t="shared" si="4"/>
        <v>0.64659999999999995</v>
      </c>
      <c r="AO29" s="124">
        <f t="shared" si="5"/>
        <v>1.3838540055675845</v>
      </c>
      <c r="AP29" s="135">
        <f>+AM29</f>
        <v>0.89480000000000004</v>
      </c>
      <c r="AQ29" s="139">
        <f>+HLOOKUP($AQ$3,$K$3:$AH$67,27,FALSE)</f>
        <v>0.7984</v>
      </c>
      <c r="AR29" s="134">
        <f>(((K29-$AN29)/($AM29-$AN29))*100)</f>
        <v>45.568090249798573</v>
      </c>
      <c r="AS29" s="134">
        <f>(((L29-$AN29)/($AM29-$AN29))*100)</f>
        <v>20.265914585012084</v>
      </c>
      <c r="AT29" s="134">
        <f>(((M29-$AN29)/($AM29-$AN29))*100)</f>
        <v>11.522965350523794</v>
      </c>
      <c r="AU29" s="134">
        <f>(((N29-$AN29)/($AM29-$AN29))*100)</f>
        <v>49.758259468170834</v>
      </c>
      <c r="AV29" s="134">
        <f>(((O29-$AN29)/($AM29-$AN29))*100)</f>
        <v>33.239323126510875</v>
      </c>
      <c r="AW29" s="134">
        <f>(((P29-$AN29)/($AM29-$AN29))*100)</f>
        <v>37.228041901692187</v>
      </c>
      <c r="AX29" s="134">
        <f>(((Q29-$AN29)/($AM29-$AN29))*100)</f>
        <v>43.432715551974198</v>
      </c>
      <c r="AY29" s="134">
        <f>(((R29-$AN29)/($AM29-$AN29))*100)</f>
        <v>17.40531829170024</v>
      </c>
      <c r="AZ29" s="134">
        <f>(((S29-$AN29)/($AM29-$AN29))*100)</f>
        <v>33.521353746978249</v>
      </c>
      <c r="BA29" s="134">
        <f>(((T29-$AN29)/($AM29-$AN29))*100)</f>
        <v>61.160354552780014</v>
      </c>
      <c r="BB29" s="134">
        <f>(((U29-$AN29)/($AM29-$AN29))*100)</f>
        <v>27.759871071716379</v>
      </c>
      <c r="BC29" s="134">
        <f>(((V29-$AN29)/($AM29-$AN29))*100)</f>
        <v>18.976631748589853</v>
      </c>
      <c r="BD29" s="134">
        <f>(((W29-$AN29)/($AM29-$AN29))*100)</f>
        <v>20.467365028203083</v>
      </c>
      <c r="BE29" s="134">
        <f>(((X29-$AN29)/($AM29-$AN29))*100)</f>
        <v>36.099919419822719</v>
      </c>
      <c r="BF29" s="134">
        <f>(((Y29-$AN29)/($AM29-$AN29))*100)</f>
        <v>57.695406929895221</v>
      </c>
      <c r="BG29" s="134">
        <f>(((Z29-$AN29)/($AM29-$AN29))*100)</f>
        <v>72.199838839645437</v>
      </c>
      <c r="BH29" s="134">
        <f>(((AA29-$AN29)/($AM29-$AN29))*100)</f>
        <v>83.118452860596278</v>
      </c>
      <c r="BI29" s="134">
        <f>(((AB29-$AN29)/($AM29-$AN29))*100)</f>
        <v>64.907332796132138</v>
      </c>
      <c r="BJ29" s="134">
        <f>(((AC29-$AN29)/($AM29-$AN29))*100)</f>
        <v>100</v>
      </c>
      <c r="BK29" s="134">
        <f>(((AD29-$AN29)/($AM29-$AN29))*100)</f>
        <v>71.676067687348905</v>
      </c>
      <c r="BL29" s="134">
        <f>(((AE29-$AN29)/($AM29-$AN29))*100)</f>
        <v>0</v>
      </c>
      <c r="BM29" s="134">
        <f>(((AF29-$AN29)/($AM29-$AN29))*100)</f>
        <v>56.688154713940378</v>
      </c>
      <c r="BN29" s="134">
        <f>(((AG29-$AN29)/($AM29-$AN29))*100)</f>
        <v>43.674456083803392</v>
      </c>
      <c r="BO29" s="134">
        <f>(((AH29-$AN29)/($AM29-$AN29))*100)</f>
        <v>73.005640612409323</v>
      </c>
      <c r="BP29" s="129">
        <f t="shared" si="6"/>
        <v>100</v>
      </c>
      <c r="BQ29" s="129">
        <f t="shared" si="7"/>
        <v>0</v>
      </c>
      <c r="BR29" s="129">
        <f t="shared" si="8"/>
        <v>44.97381144238517</v>
      </c>
      <c r="BS29" s="129">
        <f t="shared" si="9"/>
        <v>24.848332122308111</v>
      </c>
      <c r="BT29" s="130">
        <f t="shared" si="10"/>
        <v>0.55250669946310182</v>
      </c>
      <c r="BU29" s="131">
        <f t="shared" si="23"/>
        <v>0.45568090249798576</v>
      </c>
      <c r="BV29" s="131">
        <f t="shared" si="23"/>
        <v>0.20265914585012085</v>
      </c>
      <c r="BW29" s="131">
        <f t="shared" si="23"/>
        <v>0.11522965350523795</v>
      </c>
      <c r="BX29" s="131">
        <f t="shared" si="23"/>
        <v>0.4975825946817084</v>
      </c>
      <c r="BY29" s="131">
        <f t="shared" si="23"/>
        <v>0.33239323126510878</v>
      </c>
      <c r="BZ29" s="131">
        <f t="shared" si="23"/>
        <v>0.37228041901692194</v>
      </c>
      <c r="CA29" s="131">
        <f t="shared" si="23"/>
        <v>0.43432715551974205</v>
      </c>
      <c r="CB29" s="131">
        <f t="shared" si="23"/>
        <v>0.17405318291700242</v>
      </c>
      <c r="CC29" s="131">
        <f t="shared" si="23"/>
        <v>0.33521353746978255</v>
      </c>
      <c r="CD29" s="131">
        <f t="shared" si="23"/>
        <v>0.61160354552780027</v>
      </c>
      <c r="CE29" s="131">
        <f t="shared" si="23"/>
        <v>0.2775987107171638</v>
      </c>
      <c r="CF29" s="131">
        <f t="shared" si="23"/>
        <v>0.18976631748589856</v>
      </c>
      <c r="CG29" s="131">
        <f t="shared" si="23"/>
        <v>0.20467365028203088</v>
      </c>
      <c r="CH29" s="131">
        <f t="shared" si="23"/>
        <v>0.36099919419822724</v>
      </c>
      <c r="CI29" s="131">
        <f t="shared" si="23"/>
        <v>0.57695406929895232</v>
      </c>
      <c r="CJ29" s="131">
        <f t="shared" si="24"/>
        <v>0.72199838839645447</v>
      </c>
      <c r="CK29" s="131">
        <f t="shared" si="12"/>
        <v>0.83118452860596281</v>
      </c>
      <c r="CL29" s="131">
        <f t="shared" si="12"/>
        <v>0.64907332796132144</v>
      </c>
      <c r="CM29" s="131">
        <f t="shared" si="12"/>
        <v>1</v>
      </c>
      <c r="CN29" s="131">
        <f t="shared" si="12"/>
        <v>0.7167606768734891</v>
      </c>
      <c r="CO29" s="131">
        <f t="shared" si="12"/>
        <v>0</v>
      </c>
      <c r="CP29" s="131">
        <f t="shared" si="12"/>
        <v>0.56688154713940386</v>
      </c>
      <c r="CQ29" s="131">
        <f t="shared" si="12"/>
        <v>0.43674456083803392</v>
      </c>
      <c r="CR29" s="131">
        <f t="shared" si="12"/>
        <v>0.73005640612409328</v>
      </c>
      <c r="CS29" s="131">
        <f t="shared" si="12"/>
        <v>1</v>
      </c>
      <c r="CT29" s="132">
        <f t="shared" si="15"/>
        <v>9.1136180499597153</v>
      </c>
      <c r="CU29" s="132">
        <f t="shared" si="15"/>
        <v>4.0531829170024167</v>
      </c>
      <c r="CV29" s="132">
        <f t="shared" si="15"/>
        <v>2.304593070104759</v>
      </c>
      <c r="CW29" s="132">
        <f t="shared" si="15"/>
        <v>9.9516518936341676</v>
      </c>
      <c r="CX29" s="132">
        <f t="shared" si="15"/>
        <v>6.6478646253021756</v>
      </c>
      <c r="CY29" s="132">
        <f t="shared" si="15"/>
        <v>7.4456083803384381</v>
      </c>
      <c r="CZ29" s="132">
        <f t="shared" si="15"/>
        <v>8.6865431103948403</v>
      </c>
      <c r="DA29" s="132">
        <f t="shared" si="15"/>
        <v>3.4810636583400481</v>
      </c>
      <c r="DB29" s="132">
        <f t="shared" si="15"/>
        <v>6.7042707493956506</v>
      </c>
      <c r="DC29" s="132">
        <f t="shared" si="15"/>
        <v>12.232070910556004</v>
      </c>
      <c r="DD29" s="132">
        <f t="shared" si="15"/>
        <v>5.551974214343276</v>
      </c>
      <c r="DE29" s="132">
        <f t="shared" si="15"/>
        <v>3.7953263497179708</v>
      </c>
      <c r="DF29" s="132">
        <f t="shared" si="15"/>
        <v>4.0934730056406172</v>
      </c>
      <c r="DG29" s="132">
        <f t="shared" si="15"/>
        <v>7.2199838839645443</v>
      </c>
      <c r="DH29" s="132">
        <f t="shared" si="15"/>
        <v>11.539081385979046</v>
      </c>
      <c r="DI29" s="132">
        <f t="shared" si="15"/>
        <v>14.439967767929089</v>
      </c>
      <c r="DJ29" s="132">
        <f t="shared" si="25"/>
        <v>16.623690572119255</v>
      </c>
      <c r="DK29" s="132">
        <f t="shared" si="25"/>
        <v>12.981466559226428</v>
      </c>
      <c r="DL29" s="132">
        <f t="shared" si="25"/>
        <v>20</v>
      </c>
      <c r="DM29" s="132">
        <f t="shared" si="25"/>
        <v>14.335213537469782</v>
      </c>
      <c r="DN29" s="132">
        <f t="shared" si="25"/>
        <v>0</v>
      </c>
      <c r="DO29" s="132">
        <f t="shared" si="25"/>
        <v>11.337630942788076</v>
      </c>
      <c r="DP29" s="132">
        <f t="shared" si="25"/>
        <v>8.734891216760678</v>
      </c>
      <c r="DQ29" s="132">
        <f t="shared" si="25"/>
        <v>14.601128122481866</v>
      </c>
      <c r="DR29" s="58"/>
    </row>
    <row r="30" spans="1:122" ht="56">
      <c r="A30" s="50">
        <v>2017</v>
      </c>
      <c r="B30" s="51" t="s">
        <v>185</v>
      </c>
      <c r="C30" s="52">
        <f>+VLOOKUP(B30,'Indice por pilar'!$B$9:$C$20,2,FALSE)</f>
        <v>0.05</v>
      </c>
      <c r="D30" s="52">
        <f>+VLOOKUP(B30,[1]PONDERACIÓN!$B$22:$E$33,4,FALSE)</f>
        <v>0.2</v>
      </c>
      <c r="E30" s="67" t="s">
        <v>124</v>
      </c>
      <c r="F30" s="71" t="s">
        <v>192</v>
      </c>
      <c r="G30" s="60" t="s">
        <v>193</v>
      </c>
      <c r="H30" s="60" t="s">
        <v>354</v>
      </c>
      <c r="I30" s="60">
        <v>2015</v>
      </c>
      <c r="J30" s="60" t="s">
        <v>194</v>
      </c>
      <c r="K30" s="62">
        <v>82.565950000000001</v>
      </c>
      <c r="L30" s="62">
        <v>55.554119999999998</v>
      </c>
      <c r="M30" s="62">
        <v>57.71322</v>
      </c>
      <c r="N30" s="62">
        <v>60.988909999999997</v>
      </c>
      <c r="O30" s="62">
        <v>40.062989999999999</v>
      </c>
      <c r="P30" s="62">
        <v>67.776629999999997</v>
      </c>
      <c r="Q30" s="62">
        <v>57.262799999999999</v>
      </c>
      <c r="R30" s="62">
        <v>82.574780000000004</v>
      </c>
      <c r="S30" s="62">
        <v>166.26438999999999</v>
      </c>
      <c r="T30" s="62">
        <v>56.896839999999997</v>
      </c>
      <c r="U30" s="62">
        <v>92.644869999999997</v>
      </c>
      <c r="V30" s="62">
        <v>76.238600000000005</v>
      </c>
      <c r="W30" s="62">
        <v>41.247480000000003</v>
      </c>
      <c r="X30" s="62">
        <v>67.967380000000006</v>
      </c>
      <c r="Y30" s="62">
        <v>61.344895114762629</v>
      </c>
      <c r="Z30" s="62">
        <v>149.85448</v>
      </c>
      <c r="AA30" s="62">
        <v>65.74736</v>
      </c>
      <c r="AB30" s="62">
        <v>103.36175</v>
      </c>
      <c r="AC30" s="62">
        <v>60.983530000000002</v>
      </c>
      <c r="AD30" s="62">
        <v>86.222740000000002</v>
      </c>
      <c r="AE30" s="62">
        <v>41.617750000000001</v>
      </c>
      <c r="AF30" s="62">
        <v>126.57756000000001</v>
      </c>
      <c r="AG30" s="62">
        <v>53.816029999999998</v>
      </c>
      <c r="AH30" s="63">
        <v>56.627850000000002</v>
      </c>
      <c r="AI30" s="124">
        <f t="shared" si="0"/>
        <v>75.496371046448431</v>
      </c>
      <c r="AJ30" s="124">
        <f t="shared" si="1"/>
        <v>32.49805005761548</v>
      </c>
      <c r="AK30" s="125">
        <f t="shared" si="2"/>
        <v>0.43045843935493749</v>
      </c>
      <c r="AL30" s="125" t="str">
        <f>+HLOOKUP(AN30,$K30:$AH$68,39,FALSE)</f>
        <v>Chimborazo</v>
      </c>
      <c r="AM30" s="138">
        <f t="shared" si="3"/>
        <v>166.26438999999999</v>
      </c>
      <c r="AN30" s="138">
        <f t="shared" si="4"/>
        <v>40.062989999999999</v>
      </c>
      <c r="AO30" s="124">
        <f t="shared" si="5"/>
        <v>4.1500744203066224</v>
      </c>
      <c r="AP30" s="138">
        <f>+AM30</f>
        <v>166.26438999999999</v>
      </c>
      <c r="AQ30" s="127">
        <f>+HLOOKUP($AQ$3,$K$3:$AH$67,28,FALSE)</f>
        <v>56.896839999999997</v>
      </c>
      <c r="AR30" s="134">
        <f>(((K30-$AN30)/($AM30-$AN30))*100)</f>
        <v>33.678675513900799</v>
      </c>
      <c r="AS30" s="134">
        <f>(((L30-$AN30)/($AM30-$AN30))*100)</f>
        <v>12.274927219507866</v>
      </c>
      <c r="AT30" s="134">
        <f>(((M30-$AN30)/($AM30-$AN30))*100)</f>
        <v>13.985764024804798</v>
      </c>
      <c r="AU30" s="134">
        <f>(((N30-$AN30)/($AM30-$AN30))*100)</f>
        <v>16.581369144874778</v>
      </c>
      <c r="AV30" s="134">
        <f>(((O30-$AN30)/($AM30-$AN30))*100)</f>
        <v>0</v>
      </c>
      <c r="AW30" s="134">
        <f>(((P30-$AN30)/($AM30-$AN30))*100)</f>
        <v>21.959851475498688</v>
      </c>
      <c r="AX30" s="134">
        <f>(((Q30-$AN30)/($AM30-$AN30))*100)</f>
        <v>13.628858316944187</v>
      </c>
      <c r="AY30" s="134">
        <f>(((R30-$AN30)/($AM30-$AN30))*100)</f>
        <v>33.685672266710199</v>
      </c>
      <c r="AZ30" s="134">
        <f>(((S30-$AN30)/($AM30-$AN30))*100)</f>
        <v>100</v>
      </c>
      <c r="BA30" s="134">
        <f>(((T30-$AN30)/($AM30-$AN30))*100)</f>
        <v>13.338877381708919</v>
      </c>
      <c r="BB30" s="134">
        <f>(((U30-$AN30)/($AM30-$AN30))*100)</f>
        <v>41.665052844104743</v>
      </c>
      <c r="BC30" s="134">
        <f>(((V30-$AN30)/($AM30-$AN30))*100)</f>
        <v>28.664983114291925</v>
      </c>
      <c r="BD30" s="134">
        <f>(((W30-$AN30)/($AM30-$AN30))*100)</f>
        <v>0.93857120443989039</v>
      </c>
      <c r="BE30" s="134">
        <f>(((X30-$AN30)/($AM30-$AN30))*100)</f>
        <v>22.110998768634904</v>
      </c>
      <c r="BF30" s="134">
        <f>(((Y30-$AN30)/($AM30-$AN30))*100)</f>
        <v>16.863446138285813</v>
      </c>
      <c r="BG30" s="134">
        <f>(((Z30-$AN30)/($AM30-$AN30))*100)</f>
        <v>86.997045991565869</v>
      </c>
      <c r="BH30" s="134">
        <f>(((AA30-$AN30)/($AM30-$AN30))*100)</f>
        <v>20.351889915642776</v>
      </c>
      <c r="BI30" s="134">
        <f>(((AB30-$AN30)/($AM30-$AN30))*100)</f>
        <v>50.156939621905941</v>
      </c>
      <c r="BJ30" s="134">
        <f>(((AC30-$AN30)/($AM30-$AN30))*100)</f>
        <v>16.57710611768174</v>
      </c>
      <c r="BK30" s="134">
        <f>(((AD30-$AN30)/($AM30-$AN30))*100)</f>
        <v>36.57625826654855</v>
      </c>
      <c r="BL30" s="134">
        <f>(((AE30-$AN30)/($AM30-$AN30))*100)</f>
        <v>1.2319673157350091</v>
      </c>
      <c r="BM30" s="134">
        <f>(((AF30-$AN30)/($AM30-$AN30))*100)</f>
        <v>68.552781506385827</v>
      </c>
      <c r="BN30" s="134">
        <f>(((AG30-$AN30)/($AM30-$AN30))*100)</f>
        <v>10.897692101672405</v>
      </c>
      <c r="BO30" s="134">
        <f>(((AH30-$AN30)/($AM30-$AN30))*100)</f>
        <v>13.125733945899176</v>
      </c>
      <c r="BP30" s="129">
        <f t="shared" si="6"/>
        <v>100</v>
      </c>
      <c r="BQ30" s="129">
        <f t="shared" si="7"/>
        <v>0</v>
      </c>
      <c r="BR30" s="129">
        <f t="shared" si="8"/>
        <v>28.076852591531033</v>
      </c>
      <c r="BS30" s="129">
        <f t="shared" si="9"/>
        <v>25.750942586703072</v>
      </c>
      <c r="BT30" s="130">
        <f t="shared" si="10"/>
        <v>0.91715916172421919</v>
      </c>
      <c r="BU30" s="131">
        <f t="shared" si="23"/>
        <v>0.33678675513900802</v>
      </c>
      <c r="BV30" s="131">
        <f t="shared" si="23"/>
        <v>0.12274927219507868</v>
      </c>
      <c r="BW30" s="131">
        <f t="shared" si="23"/>
        <v>0.139857640248048</v>
      </c>
      <c r="BX30" s="131">
        <f t="shared" si="23"/>
        <v>0.1658136914487478</v>
      </c>
      <c r="BY30" s="131">
        <f t="shared" si="23"/>
        <v>0</v>
      </c>
      <c r="BZ30" s="131">
        <f t="shared" si="23"/>
        <v>0.21959851475498693</v>
      </c>
      <c r="CA30" s="131">
        <f t="shared" si="23"/>
        <v>0.1362885831694419</v>
      </c>
      <c r="CB30" s="131">
        <f t="shared" si="23"/>
        <v>0.33685672266710204</v>
      </c>
      <c r="CC30" s="131">
        <f t="shared" si="23"/>
        <v>1</v>
      </c>
      <c r="CD30" s="131">
        <f t="shared" si="23"/>
        <v>0.13338877381708922</v>
      </c>
      <c r="CE30" s="131">
        <f t="shared" si="23"/>
        <v>0.4166505284410475</v>
      </c>
      <c r="CF30" s="131">
        <f t="shared" si="23"/>
        <v>0.28664983114291925</v>
      </c>
      <c r="CG30" s="131">
        <f t="shared" si="23"/>
        <v>9.3857120443989056E-3</v>
      </c>
      <c r="CH30" s="131">
        <f t="shared" si="23"/>
        <v>0.22110998768634907</v>
      </c>
      <c r="CI30" s="131">
        <f t="shared" si="23"/>
        <v>0.16863446138285815</v>
      </c>
      <c r="CJ30" s="131">
        <f t="shared" si="24"/>
        <v>0.8699704599156588</v>
      </c>
      <c r="CK30" s="131">
        <f t="shared" si="12"/>
        <v>0.20351889915642776</v>
      </c>
      <c r="CL30" s="131">
        <f t="shared" si="12"/>
        <v>0.50156939621905949</v>
      </c>
      <c r="CM30" s="131">
        <f t="shared" si="12"/>
        <v>0.16577106117681742</v>
      </c>
      <c r="CN30" s="131">
        <f t="shared" si="12"/>
        <v>0.36576258266548556</v>
      </c>
      <c r="CO30" s="131">
        <f t="shared" si="12"/>
        <v>1.2319673157350093E-2</v>
      </c>
      <c r="CP30" s="131">
        <f t="shared" si="12"/>
        <v>0.68552781506385829</v>
      </c>
      <c r="CQ30" s="131">
        <f t="shared" si="12"/>
        <v>0.10897692101672406</v>
      </c>
      <c r="CR30" s="131">
        <f t="shared" si="12"/>
        <v>0.13125733945899176</v>
      </c>
      <c r="CS30" s="131">
        <f t="shared" si="12"/>
        <v>1</v>
      </c>
      <c r="CT30" s="132">
        <f t="shared" si="15"/>
        <v>6.7357351027801604</v>
      </c>
      <c r="CU30" s="132">
        <f t="shared" si="15"/>
        <v>2.4549854439015735</v>
      </c>
      <c r="CV30" s="132">
        <f t="shared" si="15"/>
        <v>2.7971528049609597</v>
      </c>
      <c r="CW30" s="132">
        <f t="shared" si="15"/>
        <v>3.3162738289749556</v>
      </c>
      <c r="CX30" s="132">
        <f t="shared" si="15"/>
        <v>0</v>
      </c>
      <c r="CY30" s="132">
        <f t="shared" si="15"/>
        <v>4.3919702950997381</v>
      </c>
      <c r="CZ30" s="132">
        <f t="shared" si="15"/>
        <v>2.7257716633888376</v>
      </c>
      <c r="DA30" s="132">
        <f t="shared" si="15"/>
        <v>6.7371344533420405</v>
      </c>
      <c r="DB30" s="132">
        <f t="shared" si="15"/>
        <v>20</v>
      </c>
      <c r="DC30" s="132">
        <f t="shared" si="15"/>
        <v>2.667775476341784</v>
      </c>
      <c r="DD30" s="132">
        <f t="shared" si="15"/>
        <v>8.3330105688209493</v>
      </c>
      <c r="DE30" s="132">
        <f t="shared" si="15"/>
        <v>5.7329966228583853</v>
      </c>
      <c r="DF30" s="132">
        <f t="shared" si="15"/>
        <v>0.18771424088797808</v>
      </c>
      <c r="DG30" s="132">
        <f t="shared" si="15"/>
        <v>4.4221997537269813</v>
      </c>
      <c r="DH30" s="132">
        <f t="shared" si="15"/>
        <v>3.3726892276571627</v>
      </c>
      <c r="DI30" s="132">
        <f t="shared" si="15"/>
        <v>17.399409198313176</v>
      </c>
      <c r="DJ30" s="132">
        <f t="shared" si="25"/>
        <v>4.0703779831285551</v>
      </c>
      <c r="DK30" s="132">
        <f t="shared" si="25"/>
        <v>10.031387924381189</v>
      </c>
      <c r="DL30" s="132">
        <f t="shared" si="25"/>
        <v>3.3154212235363483</v>
      </c>
      <c r="DM30" s="132">
        <f t="shared" si="25"/>
        <v>7.3152516533097103</v>
      </c>
      <c r="DN30" s="132">
        <f t="shared" si="25"/>
        <v>0.24639346314700183</v>
      </c>
      <c r="DO30" s="132">
        <f t="shared" si="25"/>
        <v>13.710556301277165</v>
      </c>
      <c r="DP30" s="132">
        <f t="shared" si="25"/>
        <v>2.179538420334481</v>
      </c>
      <c r="DQ30" s="132">
        <f t="shared" si="25"/>
        <v>2.6251467891798352</v>
      </c>
      <c r="DR30" s="58"/>
    </row>
    <row r="31" spans="1:122" ht="56">
      <c r="A31" s="50">
        <v>2017</v>
      </c>
      <c r="B31" s="51" t="s">
        <v>185</v>
      </c>
      <c r="C31" s="52">
        <f>+VLOOKUP(B31,'Indice por pilar'!$B$9:$C$20,2,FALSE)</f>
        <v>0.05</v>
      </c>
      <c r="D31" s="52">
        <f>+VLOOKUP(B31,[1]PONDERACIÓN!$B$22:$E$33,4,FALSE)</f>
        <v>0.2</v>
      </c>
      <c r="E31" s="53" t="s">
        <v>124</v>
      </c>
      <c r="F31" s="71" t="s">
        <v>195</v>
      </c>
      <c r="G31" s="60" t="s">
        <v>196</v>
      </c>
      <c r="H31" s="60" t="s">
        <v>355</v>
      </c>
      <c r="I31" s="60">
        <v>2016</v>
      </c>
      <c r="J31" s="60" t="s">
        <v>177</v>
      </c>
      <c r="K31" s="78">
        <v>147.44560999999999</v>
      </c>
      <c r="L31" s="78">
        <v>196.03465</v>
      </c>
      <c r="M31" s="78">
        <v>190.95495</v>
      </c>
      <c r="N31" s="78">
        <v>249.20375999999999</v>
      </c>
      <c r="O31" s="78">
        <v>154.82543000000001</v>
      </c>
      <c r="P31" s="78">
        <v>129.51943</v>
      </c>
      <c r="Q31" s="78">
        <v>159.82445999999999</v>
      </c>
      <c r="R31" s="78">
        <v>140.42525000000001</v>
      </c>
      <c r="S31" s="78">
        <v>437.82837000000001</v>
      </c>
      <c r="T31" s="78">
        <v>31.54589</v>
      </c>
      <c r="U31" s="78">
        <v>138.10629</v>
      </c>
      <c r="V31" s="78">
        <v>267.28082000000001</v>
      </c>
      <c r="W31" s="78">
        <v>78.394580000000005</v>
      </c>
      <c r="X31" s="78">
        <v>86.875259999999997</v>
      </c>
      <c r="Y31" s="78">
        <v>479.92429363255377</v>
      </c>
      <c r="Z31" s="78">
        <v>289.30441999999999</v>
      </c>
      <c r="AA31" s="78">
        <v>271.26895000000002</v>
      </c>
      <c r="AB31" s="78">
        <v>297.85662000000002</v>
      </c>
      <c r="AC31" s="78">
        <v>39.980020000000003</v>
      </c>
      <c r="AD31" s="78">
        <v>232.33147</v>
      </c>
      <c r="AE31" s="78">
        <v>142.69208</v>
      </c>
      <c r="AF31" s="78">
        <v>514.35825999999997</v>
      </c>
      <c r="AG31" s="78">
        <v>58.310360000000003</v>
      </c>
      <c r="AH31" s="79">
        <v>54.345910000000003</v>
      </c>
      <c r="AI31" s="124">
        <f t="shared" si="0"/>
        <v>199.52654723468973</v>
      </c>
      <c r="AJ31" s="124">
        <f t="shared" si="1"/>
        <v>133.41086006841149</v>
      </c>
      <c r="AK31" s="125">
        <f t="shared" si="2"/>
        <v>0.66863714085870096</v>
      </c>
      <c r="AL31" s="125" t="str">
        <f>+HLOOKUP(AN31,$K31:$AH$68,38,FALSE)</f>
        <v>Guayas</v>
      </c>
      <c r="AM31" s="138">
        <f t="shared" si="3"/>
        <v>514.35825999999997</v>
      </c>
      <c r="AN31" s="138">
        <f t="shared" si="4"/>
        <v>31.54589</v>
      </c>
      <c r="AO31" s="124">
        <f t="shared" si="5"/>
        <v>16.305079996157978</v>
      </c>
      <c r="AP31" s="138">
        <f>+AM31</f>
        <v>514.35825999999997</v>
      </c>
      <c r="AQ31" s="127">
        <f>+HLOOKUP($AQ$3,$K$3:$AH$67,29,FALSE)</f>
        <v>31.54589</v>
      </c>
      <c r="AR31" s="134">
        <f>(((K31-$AN31)/($AM31-$AN31))*100)</f>
        <v>24.005126463516248</v>
      </c>
      <c r="AS31" s="134">
        <f>(((L31-$AN31)/($AM31-$AN31))*100)</f>
        <v>34.06887855835177</v>
      </c>
      <c r="AT31" s="134">
        <f>(((M31-$AN31)/($AM31-$AN31))*100)</f>
        <v>33.016772126198838</v>
      </c>
      <c r="AU31" s="134">
        <f>(((N31-$AN31)/($AM31-$AN31))*100)</f>
        <v>45.081253821230803</v>
      </c>
      <c r="AV31" s="134">
        <f>(((O31-$AN31)/($AM31-$AN31))*100)</f>
        <v>25.533633282842359</v>
      </c>
      <c r="AW31" s="134">
        <f>(((P31-$AN31)/($AM31-$AN31))*100)</f>
        <v>20.292259703288053</v>
      </c>
      <c r="AX31" s="134">
        <f>(((Q31-$AN31)/($AM31-$AN31))*100)</f>
        <v>26.56903136098191</v>
      </c>
      <c r="AY31" s="134">
        <f>(((R31-$AN31)/($AM31-$AN31))*100)</f>
        <v>22.551070926372496</v>
      </c>
      <c r="AZ31" s="134">
        <f>(((S31-$AN31)/($AM31-$AN31))*100)</f>
        <v>84.149144728831203</v>
      </c>
      <c r="BA31" s="134">
        <f>(((T31-$AN31)/($AM31-$AN31))*100)</f>
        <v>0</v>
      </c>
      <c r="BB31" s="134">
        <f>(((U31-$AN31)/($AM31-$AN31))*100)</f>
        <v>22.070768402226314</v>
      </c>
      <c r="BC31" s="134">
        <f>(((V31-$AN31)/($AM31-$AN31))*100)</f>
        <v>48.825370816410526</v>
      </c>
      <c r="BD31" s="134">
        <f>(((W31-$AN31)/($AM31-$AN31))*100)</f>
        <v>9.7032911563554194</v>
      </c>
      <c r="BE31" s="134">
        <f>(((X31-$AN31)/($AM31-$AN31))*100)</f>
        <v>11.459807875262184</v>
      </c>
      <c r="BF31" s="134">
        <f>(((Y31-$AN31)/($AM31-$AN31))*100)</f>
        <v>92.86804388059771</v>
      </c>
      <c r="BG31" s="134">
        <f>(((Z31-$AN31)/($AM31-$AN31))*100)</f>
        <v>53.386894374723667</v>
      </c>
      <c r="BH31" s="134">
        <f>(((AA31-$AN31)/($AM31-$AN31))*100)</f>
        <v>49.651391491895716</v>
      </c>
      <c r="BI31" s="134">
        <f>(((AB31-$AN31)/($AM31-$AN31))*100)</f>
        <v>55.158224301502479</v>
      </c>
      <c r="BJ31" s="134">
        <f>(((AC31-$AN31)/($AM31-$AN31))*100)</f>
        <v>1.7468752923625388</v>
      </c>
      <c r="BK31" s="134">
        <f>(((AD31-$AN31)/($AM31-$AN31))*100)</f>
        <v>41.586668543724343</v>
      </c>
      <c r="BL31" s="134">
        <f>(((AE31-$AN31)/($AM31-$AN31))*100)</f>
        <v>23.020576295507922</v>
      </c>
      <c r="BM31" s="134">
        <f>(((AF31-$AN31)/($AM31-$AN31))*100)</f>
        <v>100</v>
      </c>
      <c r="BN31" s="134">
        <f>(((AG31-$AN31)/($AM31-$AN31))*100)</f>
        <v>5.5434515896931149</v>
      </c>
      <c r="BO31" s="134">
        <f>(((AH31-$AN31)/($AM31-$AN31))*100)</f>
        <v>4.7223355109977829</v>
      </c>
      <c r="BP31" s="129">
        <f t="shared" si="6"/>
        <v>100</v>
      </c>
      <c r="BQ31" s="129">
        <f t="shared" si="7"/>
        <v>0</v>
      </c>
      <c r="BR31" s="129">
        <f t="shared" si="8"/>
        <v>34.792119604286398</v>
      </c>
      <c r="BS31" s="129">
        <f t="shared" si="9"/>
        <v>27.632030237421507</v>
      </c>
      <c r="BT31" s="130">
        <f t="shared" si="10"/>
        <v>0.79420370335865464</v>
      </c>
      <c r="BU31" s="131">
        <f t="shared" si="23"/>
        <v>0.24005126463516252</v>
      </c>
      <c r="BV31" s="131">
        <f t="shared" si="23"/>
        <v>0.34068878558351773</v>
      </c>
      <c r="BW31" s="131">
        <f t="shared" si="23"/>
        <v>0.33016772126198846</v>
      </c>
      <c r="BX31" s="131">
        <f t="shared" si="23"/>
        <v>0.45081253821230804</v>
      </c>
      <c r="BY31" s="131">
        <f t="shared" si="23"/>
        <v>0.25533633282842366</v>
      </c>
      <c r="BZ31" s="131">
        <f t="shared" si="23"/>
        <v>0.20292259703288057</v>
      </c>
      <c r="CA31" s="131">
        <f t="shared" si="23"/>
        <v>0.26569031360981915</v>
      </c>
      <c r="CB31" s="131">
        <f t="shared" si="23"/>
        <v>0.22551070926372496</v>
      </c>
      <c r="CC31" s="131">
        <f t="shared" si="23"/>
        <v>0.84149144728831216</v>
      </c>
      <c r="CD31" s="131">
        <f t="shared" si="23"/>
        <v>0</v>
      </c>
      <c r="CE31" s="131">
        <f t="shared" si="23"/>
        <v>0.22070768402226315</v>
      </c>
      <c r="CF31" s="131">
        <f t="shared" si="23"/>
        <v>0.48825370816410535</v>
      </c>
      <c r="CG31" s="131">
        <f t="shared" si="23"/>
        <v>9.7032911563554203E-2</v>
      </c>
      <c r="CH31" s="131">
        <f t="shared" si="23"/>
        <v>0.11459807875262185</v>
      </c>
      <c r="CI31" s="131">
        <f t="shared" si="23"/>
        <v>0.92868043880597717</v>
      </c>
      <c r="CJ31" s="131">
        <f t="shared" si="24"/>
        <v>0.5338689437472367</v>
      </c>
      <c r="CK31" s="131">
        <f t="shared" si="12"/>
        <v>0.49651391491895719</v>
      </c>
      <c r="CL31" s="131">
        <f t="shared" si="12"/>
        <v>0.55158224301502479</v>
      </c>
      <c r="CM31" s="131">
        <f t="shared" si="12"/>
        <v>1.7468752923625389E-2</v>
      </c>
      <c r="CN31" s="131">
        <f t="shared" si="12"/>
        <v>0.41586668543724348</v>
      </c>
      <c r="CO31" s="131">
        <f t="shared" si="12"/>
        <v>0.23020576295507925</v>
      </c>
      <c r="CP31" s="131">
        <f t="shared" si="12"/>
        <v>1</v>
      </c>
      <c r="CQ31" s="131">
        <f t="shared" si="12"/>
        <v>5.5434515896931151E-2</v>
      </c>
      <c r="CR31" s="131">
        <f t="shared" si="12"/>
        <v>4.7223355109977834E-2</v>
      </c>
      <c r="CS31" s="131">
        <f t="shared" si="12"/>
        <v>1</v>
      </c>
      <c r="CT31" s="132">
        <f t="shared" si="15"/>
        <v>4.8010252927032502</v>
      </c>
      <c r="CU31" s="132">
        <f t="shared" si="15"/>
        <v>6.8137757116703543</v>
      </c>
      <c r="CV31" s="132">
        <f t="shared" si="15"/>
        <v>6.6033544252397682</v>
      </c>
      <c r="CW31" s="132">
        <f t="shared" si="15"/>
        <v>9.0162507642461609</v>
      </c>
      <c r="CX31" s="132">
        <f t="shared" si="15"/>
        <v>5.1067266565684726</v>
      </c>
      <c r="CY31" s="132">
        <f t="shared" si="15"/>
        <v>4.0584519406576112</v>
      </c>
      <c r="CZ31" s="132">
        <f t="shared" si="15"/>
        <v>5.3138062721963824</v>
      </c>
      <c r="DA31" s="132">
        <f t="shared" si="15"/>
        <v>4.5102141852744992</v>
      </c>
      <c r="DB31" s="132">
        <f t="shared" si="15"/>
        <v>16.829828945766241</v>
      </c>
      <c r="DC31" s="132">
        <f t="shared" si="15"/>
        <v>0</v>
      </c>
      <c r="DD31" s="132">
        <f t="shared" si="15"/>
        <v>4.4141536804452626</v>
      </c>
      <c r="DE31" s="132">
        <f t="shared" si="15"/>
        <v>9.7650741632821063</v>
      </c>
      <c r="DF31" s="132">
        <f t="shared" si="15"/>
        <v>1.9406582312710841</v>
      </c>
      <c r="DG31" s="132">
        <f t="shared" si="15"/>
        <v>2.2919615750524369</v>
      </c>
      <c r="DH31" s="132">
        <f t="shared" si="15"/>
        <v>18.573608776119542</v>
      </c>
      <c r="DI31" s="132">
        <f t="shared" si="15"/>
        <v>10.677378874944734</v>
      </c>
      <c r="DJ31" s="132">
        <f t="shared" si="25"/>
        <v>9.9302782983791431</v>
      </c>
      <c r="DK31" s="132">
        <f t="shared" si="25"/>
        <v>11.031644860300496</v>
      </c>
      <c r="DL31" s="132">
        <f t="shared" si="25"/>
        <v>0.34937505847250777</v>
      </c>
      <c r="DM31" s="132">
        <f t="shared" si="25"/>
        <v>8.3173337087448687</v>
      </c>
      <c r="DN31" s="132">
        <f t="shared" si="25"/>
        <v>4.6041152591015848</v>
      </c>
      <c r="DO31" s="132">
        <f t="shared" si="25"/>
        <v>20</v>
      </c>
      <c r="DP31" s="132">
        <f t="shared" si="25"/>
        <v>1.1086903179386229</v>
      </c>
      <c r="DQ31" s="132">
        <f t="shared" si="25"/>
        <v>0.94446710219955665</v>
      </c>
      <c r="DR31" s="58"/>
    </row>
    <row r="32" spans="1:122" ht="84">
      <c r="A32" s="50">
        <v>2017</v>
      </c>
      <c r="B32" s="51" t="s">
        <v>197</v>
      </c>
      <c r="C32" s="52">
        <f>+VLOOKUP(B32,'Indice por pilar'!$B$9:$C$20,2,FALSE)</f>
        <v>0.1</v>
      </c>
      <c r="D32" s="52">
        <f>+VLOOKUP(B32,[1]PONDERACIÓN!$B$22:$E$33,4,FALSE)</f>
        <v>0.2</v>
      </c>
      <c r="E32" s="53" t="s">
        <v>124</v>
      </c>
      <c r="F32" s="59" t="s">
        <v>198</v>
      </c>
      <c r="G32" s="60" t="s">
        <v>199</v>
      </c>
      <c r="H32" s="60" t="s">
        <v>200</v>
      </c>
      <c r="I32" s="60">
        <v>2017</v>
      </c>
      <c r="J32" s="60" t="s">
        <v>131</v>
      </c>
      <c r="K32" s="64">
        <v>6.7199999999999996E-2</v>
      </c>
      <c r="L32" s="64">
        <v>7.9100000000000004E-2</v>
      </c>
      <c r="M32" s="64">
        <v>9.5299999999999996E-2</v>
      </c>
      <c r="N32" s="64">
        <v>9.5100000000000004E-2</v>
      </c>
      <c r="O32" s="64">
        <v>7.0199999999999999E-2</v>
      </c>
      <c r="P32" s="64">
        <v>3.9E-2</v>
      </c>
      <c r="Q32" s="64">
        <v>6.9500000000000006E-2</v>
      </c>
      <c r="R32" s="64">
        <v>3.39E-2</v>
      </c>
      <c r="S32" s="64">
        <v>4.7000000000000002E-3</v>
      </c>
      <c r="T32" s="64">
        <v>5.33E-2</v>
      </c>
      <c r="U32" s="64">
        <v>7.2400000000000006E-2</v>
      </c>
      <c r="V32" s="64">
        <v>6.8500000000000005E-2</v>
      </c>
      <c r="W32" s="64">
        <v>4.4600000000000001E-2</v>
      </c>
      <c r="X32" s="64">
        <v>6.0299999999999999E-2</v>
      </c>
      <c r="Y32" s="64">
        <v>2.5100000000000001E-2</v>
      </c>
      <c r="Z32" s="64">
        <v>2.5700000000000001E-2</v>
      </c>
      <c r="AA32" s="64">
        <v>1.0800000000000001E-2</v>
      </c>
      <c r="AB32" s="64">
        <v>4.7000000000000002E-3</v>
      </c>
      <c r="AC32" s="64">
        <v>5.8000000000000003E-2</v>
      </c>
      <c r="AD32" s="64">
        <v>3.5200000000000002E-2</v>
      </c>
      <c r="AE32" s="64">
        <v>7.17E-2</v>
      </c>
      <c r="AF32" s="64">
        <v>2.6100000000000002E-2</v>
      </c>
      <c r="AG32" s="64">
        <v>4.3799999999999999E-2</v>
      </c>
      <c r="AH32" s="65">
        <v>7.0199999999999999E-2</v>
      </c>
      <c r="AI32" s="124">
        <f t="shared" si="0"/>
        <v>5.1016666666666682E-2</v>
      </c>
      <c r="AJ32" s="124">
        <f t="shared" si="1"/>
        <v>2.6363292442443436E-2</v>
      </c>
      <c r="AK32" s="125">
        <f t="shared" si="2"/>
        <v>0.51675842748990708</v>
      </c>
      <c r="AL32" s="125" t="str">
        <f>+HLOOKUP(AN32,$K32:$AH$68,37,FALSE)</f>
        <v>Galápagos</v>
      </c>
      <c r="AM32" s="135">
        <f t="shared" si="3"/>
        <v>9.5299999999999996E-2</v>
      </c>
      <c r="AN32" s="135">
        <f t="shared" si="4"/>
        <v>4.7000000000000002E-3</v>
      </c>
      <c r="AO32" s="124">
        <f t="shared" si="5"/>
        <v>20.276595744680851</v>
      </c>
      <c r="AP32" s="135">
        <f>+AM32</f>
        <v>9.5299999999999996E-2</v>
      </c>
      <c r="AQ32" s="139">
        <f>+HLOOKUP($AQ$3,$K$3:$AH$67,30,FALSE)</f>
        <v>5.33E-2</v>
      </c>
      <c r="AR32" s="134">
        <f>(((K32-$AN32)/($AM32-$AN32))*100)</f>
        <v>68.984547461368649</v>
      </c>
      <c r="AS32" s="134">
        <f>(((L32-$AN32)/($AM32-$AN32))*100)</f>
        <v>82.119205298013256</v>
      </c>
      <c r="AT32" s="134">
        <f>(((M32-$AN32)/($AM32-$AN32))*100)</f>
        <v>100</v>
      </c>
      <c r="AU32" s="134">
        <f>(((N32-$AN32)/($AM32-$AN32))*100)</f>
        <v>99.779249448123636</v>
      </c>
      <c r="AV32" s="134">
        <f>(((O32-$AN32)/($AM32-$AN32))*100)</f>
        <v>72.29580573951435</v>
      </c>
      <c r="AW32" s="134">
        <f>(((P32-$AN32)/($AM32-$AN32))*100)</f>
        <v>37.858719646799116</v>
      </c>
      <c r="AX32" s="134">
        <f>(((Q32-$AN32)/($AM32-$AN32))*100)</f>
        <v>71.523178807947033</v>
      </c>
      <c r="AY32" s="134">
        <f>(((R32-$AN32)/($AM32-$AN32))*100)</f>
        <v>32.229580573951431</v>
      </c>
      <c r="AZ32" s="134">
        <f>(((S32-$AN32)/($AM32-$AN32))*100)</f>
        <v>0</v>
      </c>
      <c r="BA32" s="134">
        <f>(((T32-$AN32)/($AM32-$AN32))*100)</f>
        <v>53.642384105960261</v>
      </c>
      <c r="BB32" s="134">
        <f>(((U32-$AN32)/($AM32-$AN32))*100)</f>
        <v>74.724061810154538</v>
      </c>
      <c r="BC32" s="134">
        <f>(((V32-$AN32)/($AM32-$AN32))*100)</f>
        <v>70.419426048565143</v>
      </c>
      <c r="BD32" s="134">
        <f>(((W32-$AN32)/($AM32-$AN32))*100)</f>
        <v>44.039735099337747</v>
      </c>
      <c r="BE32" s="134">
        <f>(((X32-$AN32)/($AM32-$AN32))*100)</f>
        <v>61.368653421633546</v>
      </c>
      <c r="BF32" s="134">
        <f>(((Y32-$AN32)/($AM32-$AN32))*100)</f>
        <v>22.516556291390728</v>
      </c>
      <c r="BG32" s="134">
        <f>(((Z32-$AN32)/($AM32-$AN32))*100)</f>
        <v>23.17880794701987</v>
      </c>
      <c r="BH32" s="134">
        <f>(((AA32-$AN32)/($AM32-$AN32))*100)</f>
        <v>6.7328918322295817</v>
      </c>
      <c r="BI32" s="134">
        <f>(((AB32-$AN32)/($AM32-$AN32))*100)</f>
        <v>0</v>
      </c>
      <c r="BJ32" s="134">
        <f>(((AC32-$AN32)/($AM32-$AN32))*100)</f>
        <v>58.83002207505519</v>
      </c>
      <c r="BK32" s="134">
        <f>(((AD32-$AN32)/($AM32-$AN32))*100)</f>
        <v>33.66445916114791</v>
      </c>
      <c r="BL32" s="134">
        <f>(((AE32-$AN32)/($AM32-$AN32))*100)</f>
        <v>73.951434878587193</v>
      </c>
      <c r="BM32" s="134">
        <f>(((AF32-$AN32)/($AM32-$AN32))*100)</f>
        <v>23.620309050772629</v>
      </c>
      <c r="BN32" s="134">
        <f>(((AG32-$AN32)/($AM32-$AN32))*100)</f>
        <v>43.15673289183222</v>
      </c>
      <c r="BO32" s="134">
        <f>(((AH32-$AN32)/($AM32-$AN32))*100)</f>
        <v>72.29580573951435</v>
      </c>
      <c r="BP32" s="129">
        <f t="shared" si="6"/>
        <v>100</v>
      </c>
      <c r="BQ32" s="129">
        <f t="shared" si="7"/>
        <v>0</v>
      </c>
      <c r="BR32" s="129">
        <f t="shared" si="8"/>
        <v>51.122148638704942</v>
      </c>
      <c r="BS32" s="129">
        <f t="shared" si="9"/>
        <v>29.098556779738924</v>
      </c>
      <c r="BT32" s="130">
        <f t="shared" si="10"/>
        <v>0.56919667022188114</v>
      </c>
      <c r="BU32" s="131">
        <f t="shared" si="23"/>
        <v>1.3796909492273732</v>
      </c>
      <c r="BV32" s="131">
        <f t="shared" si="23"/>
        <v>1.6423841059602653</v>
      </c>
      <c r="BW32" s="131">
        <f t="shared" si="23"/>
        <v>2</v>
      </c>
      <c r="BX32" s="131">
        <f t="shared" si="23"/>
        <v>1.995584988962473</v>
      </c>
      <c r="BY32" s="131">
        <f t="shared" si="23"/>
        <v>1.445916114790287</v>
      </c>
      <c r="BZ32" s="131">
        <f t="shared" si="23"/>
        <v>0.75717439293598243</v>
      </c>
      <c r="CA32" s="131">
        <f t="shared" si="23"/>
        <v>1.4304635761589408</v>
      </c>
      <c r="CB32" s="131">
        <f t="shared" si="23"/>
        <v>0.64459161147902866</v>
      </c>
      <c r="CC32" s="131">
        <f t="shared" si="23"/>
        <v>0</v>
      </c>
      <c r="CD32" s="131">
        <f t="shared" si="23"/>
        <v>1.0728476821192054</v>
      </c>
      <c r="CE32" s="131">
        <f t="shared" si="23"/>
        <v>1.494481236203091</v>
      </c>
      <c r="CF32" s="131">
        <f t="shared" si="23"/>
        <v>1.408388520971303</v>
      </c>
      <c r="CG32" s="131">
        <f t="shared" si="23"/>
        <v>0.88079470198675502</v>
      </c>
      <c r="CH32" s="131">
        <f t="shared" si="23"/>
        <v>1.2273730684326711</v>
      </c>
      <c r="CI32" s="131">
        <f t="shared" si="23"/>
        <v>0.45033112582781459</v>
      </c>
      <c r="CJ32" s="131">
        <f t="shared" si="24"/>
        <v>0.46357615894039744</v>
      </c>
      <c r="CK32" s="131">
        <f t="shared" si="12"/>
        <v>0.13465783664459163</v>
      </c>
      <c r="CL32" s="131">
        <f t="shared" si="12"/>
        <v>0</v>
      </c>
      <c r="CM32" s="131">
        <f t="shared" si="12"/>
        <v>1.176600441501104</v>
      </c>
      <c r="CN32" s="131">
        <f t="shared" ref="CN32:CS63" si="26">+BK32*$C32*$D32</f>
        <v>0.67328918322295828</v>
      </c>
      <c r="CO32" s="131">
        <f t="shared" si="26"/>
        <v>1.4790286975717439</v>
      </c>
      <c r="CP32" s="131">
        <f t="shared" si="26"/>
        <v>0.47240618101545268</v>
      </c>
      <c r="CQ32" s="131">
        <f t="shared" si="26"/>
        <v>0.86313465783664456</v>
      </c>
      <c r="CR32" s="131">
        <f t="shared" si="26"/>
        <v>1.445916114790287</v>
      </c>
      <c r="CS32" s="131">
        <f t="shared" si="26"/>
        <v>2</v>
      </c>
      <c r="CT32" s="132">
        <f t="shared" si="15"/>
        <v>13.796909492273731</v>
      </c>
      <c r="CU32" s="132">
        <f t="shared" si="15"/>
        <v>16.423841059602651</v>
      </c>
      <c r="CV32" s="132">
        <f t="shared" si="15"/>
        <v>20</v>
      </c>
      <c r="CW32" s="132">
        <f t="shared" si="15"/>
        <v>19.95584988962473</v>
      </c>
      <c r="CX32" s="132">
        <f t="shared" si="15"/>
        <v>14.45916114790287</v>
      </c>
      <c r="CY32" s="132">
        <f t="shared" si="15"/>
        <v>7.5717439293598234</v>
      </c>
      <c r="CZ32" s="132">
        <f t="shared" si="15"/>
        <v>14.304635761589408</v>
      </c>
      <c r="DA32" s="132">
        <f t="shared" si="15"/>
        <v>6.4459161147902861</v>
      </c>
      <c r="DB32" s="132">
        <f t="shared" si="15"/>
        <v>0</v>
      </c>
      <c r="DC32" s="132">
        <f t="shared" si="15"/>
        <v>10.728476821192054</v>
      </c>
      <c r="DD32" s="132">
        <f t="shared" si="15"/>
        <v>14.944812362030909</v>
      </c>
      <c r="DE32" s="132">
        <f t="shared" si="15"/>
        <v>14.08388520971303</v>
      </c>
      <c r="DF32" s="132">
        <f t="shared" si="15"/>
        <v>8.8079470198675498</v>
      </c>
      <c r="DG32" s="132">
        <f t="shared" si="15"/>
        <v>12.27373068432671</v>
      </c>
      <c r="DH32" s="132">
        <f t="shared" si="15"/>
        <v>4.5033112582781456</v>
      </c>
      <c r="DI32" s="132">
        <f t="shared" si="15"/>
        <v>4.6357615894039741</v>
      </c>
      <c r="DJ32" s="132">
        <f t="shared" si="25"/>
        <v>1.3465783664459163</v>
      </c>
      <c r="DK32" s="132">
        <f t="shared" si="25"/>
        <v>0</v>
      </c>
      <c r="DL32" s="132">
        <f t="shared" si="25"/>
        <v>11.766004415011039</v>
      </c>
      <c r="DM32" s="132">
        <f t="shared" si="25"/>
        <v>6.7328918322295825</v>
      </c>
      <c r="DN32" s="132">
        <f t="shared" si="25"/>
        <v>14.790286975717439</v>
      </c>
      <c r="DO32" s="132">
        <f t="shared" si="25"/>
        <v>4.7240618101545264</v>
      </c>
      <c r="DP32" s="132">
        <f t="shared" si="25"/>
        <v>8.6313465783664451</v>
      </c>
      <c r="DQ32" s="132">
        <f t="shared" si="25"/>
        <v>14.45916114790287</v>
      </c>
      <c r="DR32" s="58"/>
    </row>
    <row r="33" spans="1:122" ht="56">
      <c r="A33" s="50">
        <v>2017</v>
      </c>
      <c r="B33" s="51" t="s">
        <v>197</v>
      </c>
      <c r="C33" s="52">
        <f>+VLOOKUP(B33,'Indice por pilar'!$B$9:$C$20,2,FALSE)</f>
        <v>0.1</v>
      </c>
      <c r="D33" s="52">
        <f>+VLOOKUP(B33,[1]PONDERACIÓN!$B$22:$E$33,4,FALSE)</f>
        <v>0.2</v>
      </c>
      <c r="E33" s="53" t="s">
        <v>119</v>
      </c>
      <c r="F33" s="59" t="s">
        <v>201</v>
      </c>
      <c r="G33" s="60" t="s">
        <v>202</v>
      </c>
      <c r="H33" s="60" t="s">
        <v>203</v>
      </c>
      <c r="I33" s="60">
        <v>2017</v>
      </c>
      <c r="J33" s="60" t="s">
        <v>204</v>
      </c>
      <c r="K33" s="62">
        <v>195</v>
      </c>
      <c r="L33" s="62">
        <v>168</v>
      </c>
      <c r="M33" s="62">
        <v>201</v>
      </c>
      <c r="N33" s="62">
        <v>232</v>
      </c>
      <c r="O33" s="62">
        <v>228</v>
      </c>
      <c r="P33" s="62">
        <v>123</v>
      </c>
      <c r="Q33" s="62">
        <v>183</v>
      </c>
      <c r="R33" s="62">
        <v>328</v>
      </c>
      <c r="S33" s="62">
        <v>1086</v>
      </c>
      <c r="T33" s="62">
        <v>8.8000000000000007</v>
      </c>
      <c r="U33" s="62">
        <v>103</v>
      </c>
      <c r="V33" s="62">
        <v>401</v>
      </c>
      <c r="W33" s="62">
        <v>90.6</v>
      </c>
      <c r="X33" s="62">
        <v>189</v>
      </c>
      <c r="Y33" s="62">
        <v>369</v>
      </c>
      <c r="Z33" s="62">
        <v>168</v>
      </c>
      <c r="AA33" s="62">
        <v>269</v>
      </c>
      <c r="AB33" s="62">
        <v>247</v>
      </c>
      <c r="AC33" s="62">
        <v>34.700000000000003</v>
      </c>
      <c r="AD33" s="62">
        <v>243</v>
      </c>
      <c r="AE33" s="62">
        <v>174</v>
      </c>
      <c r="AF33" s="62">
        <v>456</v>
      </c>
      <c r="AG33" s="62">
        <v>134</v>
      </c>
      <c r="AH33" s="63">
        <v>167</v>
      </c>
      <c r="AI33" s="124">
        <f t="shared" si="0"/>
        <v>241.58749999999998</v>
      </c>
      <c r="AJ33" s="124">
        <f t="shared" si="1"/>
        <v>209.01314772978532</v>
      </c>
      <c r="AK33" s="125">
        <f t="shared" si="2"/>
        <v>0.86516540685997967</v>
      </c>
      <c r="AL33" s="125" t="str">
        <f>+HLOOKUP(AN33,$K33:$AH$68,36,FALSE)</f>
        <v>Guayas</v>
      </c>
      <c r="AM33" s="133">
        <f t="shared" si="3"/>
        <v>1086</v>
      </c>
      <c r="AN33" s="133">
        <f t="shared" si="4"/>
        <v>8.8000000000000007</v>
      </c>
      <c r="AO33" s="124">
        <f t="shared" si="5"/>
        <v>123.40909090909089</v>
      </c>
      <c r="AP33" s="133">
        <f>+AN33</f>
        <v>8.8000000000000007</v>
      </c>
      <c r="AQ33" s="127">
        <f>+HLOOKUP($AQ$3,$K$3:$AH$67,31,FALSE)</f>
        <v>8.8000000000000007</v>
      </c>
      <c r="AR33" s="134">
        <f>100-(((K33-$AN33)/($AM33-$AN33))*100)</f>
        <v>82.714444857036767</v>
      </c>
      <c r="AS33" s="134">
        <f>100-(((L33-$AN33)/($AM33-$AN33))*100)</f>
        <v>85.220943186037886</v>
      </c>
      <c r="AT33" s="134">
        <f>100-(((M33-$AN33)/($AM33-$AN33))*100)</f>
        <v>82.157445228369852</v>
      </c>
      <c r="AU33" s="134">
        <f>100-(((N33-$AN33)/($AM33-$AN33))*100)</f>
        <v>79.2796138135908</v>
      </c>
      <c r="AV33" s="134">
        <f>100-(((O33-$AN33)/($AM33-$AN33))*100)</f>
        <v>79.650946899368734</v>
      </c>
      <c r="AW33" s="134">
        <f>100-(((P33-$AN33)/($AM33-$AN33))*100)</f>
        <v>89.398440401039736</v>
      </c>
      <c r="AX33" s="134">
        <f>100-(((Q33-$AN33)/($AM33-$AN33))*100)</f>
        <v>83.828444114370598</v>
      </c>
      <c r="AY33" s="134">
        <f>100-(((R33-$AN33)/($AM33-$AN33))*100)</f>
        <v>70.367619754920156</v>
      </c>
      <c r="AZ33" s="134">
        <f>100-(((S33-$AN33)/($AM33-$AN33))*100)</f>
        <v>0</v>
      </c>
      <c r="BA33" s="134">
        <f>100-(((T33-$AN33)/($AM33-$AN33))*100)</f>
        <v>100</v>
      </c>
      <c r="BB33" s="134">
        <f>100-(((U33-$AN33)/($AM33-$AN33))*100)</f>
        <v>91.255105829929448</v>
      </c>
      <c r="BC33" s="134">
        <f>100-(((V33-$AN33)/($AM33-$AN33))*100)</f>
        <v>63.590790939472711</v>
      </c>
      <c r="BD33" s="134">
        <f>100-(((W33-$AN33)/($AM33-$AN33))*100)</f>
        <v>92.406238395841072</v>
      </c>
      <c r="BE33" s="134">
        <f>100-(((X33-$AN33)/($AM33-$AN33))*100)</f>
        <v>83.271444485703682</v>
      </c>
      <c r="BF33" s="134">
        <f>100-(((Y33-$AN33)/($AM33-$AN33))*100)</f>
        <v>66.561455625696254</v>
      </c>
      <c r="BG33" s="134">
        <f>100-(((Z33-$AN33)/($AM33-$AN33))*100)</f>
        <v>85.220943186037886</v>
      </c>
      <c r="BH33" s="134">
        <f>100-(((AA33-$AN33)/($AM33-$AN33))*100)</f>
        <v>75.844782770144818</v>
      </c>
      <c r="BI33" s="134">
        <f>100-(((AB33-$AN33)/($AM33-$AN33))*100)</f>
        <v>77.887114741923511</v>
      </c>
      <c r="BJ33" s="134">
        <f>100-(((AC33-$AN33)/($AM33-$AN33))*100)</f>
        <v>97.595618269587817</v>
      </c>
      <c r="BK33" s="134">
        <f>100-(((AD33-$AN33)/($AM33-$AN33))*100)</f>
        <v>78.258447827701445</v>
      </c>
      <c r="BL33" s="134">
        <f>100-(((AE33-$AN33)/($AM33-$AN33))*100)</f>
        <v>84.66394355737097</v>
      </c>
      <c r="BM33" s="134">
        <f>100-(((AF33-$AN33)/($AM33-$AN33))*100)</f>
        <v>58.484961010025998</v>
      </c>
      <c r="BN33" s="134">
        <f>100-(((AG33-$AN33)/($AM33-$AN33))*100)</f>
        <v>88.377274415150396</v>
      </c>
      <c r="BO33" s="134">
        <f>100-(((AH33-$AN33)/($AM33-$AN33))*100)</f>
        <v>85.313776457482362</v>
      </c>
      <c r="BP33" s="129">
        <f t="shared" si="6"/>
        <v>100</v>
      </c>
      <c r="BQ33" s="129">
        <f t="shared" si="7"/>
        <v>0</v>
      </c>
      <c r="BR33" s="129">
        <f t="shared" si="8"/>
        <v>78.389574823616783</v>
      </c>
      <c r="BS33" s="129">
        <f t="shared" si="9"/>
        <v>19.403374278665577</v>
      </c>
      <c r="BT33" s="130">
        <f t="shared" si="10"/>
        <v>0.24752493328768296</v>
      </c>
      <c r="BU33" s="131">
        <f t="shared" si="23"/>
        <v>1.6542888971407355</v>
      </c>
      <c r="BV33" s="131">
        <f t="shared" si="23"/>
        <v>1.704418863720758</v>
      </c>
      <c r="BW33" s="131">
        <f t="shared" si="23"/>
        <v>1.643148904567397</v>
      </c>
      <c r="BX33" s="131">
        <f t="shared" si="23"/>
        <v>1.5855922762718162</v>
      </c>
      <c r="BY33" s="131">
        <f t="shared" si="23"/>
        <v>1.5930189379873747</v>
      </c>
      <c r="BZ33" s="131">
        <f t="shared" si="23"/>
        <v>1.7879688080207949</v>
      </c>
      <c r="CA33" s="131">
        <f t="shared" si="23"/>
        <v>1.6765688822874123</v>
      </c>
      <c r="CB33" s="131">
        <f t="shared" si="23"/>
        <v>1.4073523950984033</v>
      </c>
      <c r="CC33" s="131">
        <f t="shared" si="23"/>
        <v>0</v>
      </c>
      <c r="CD33" s="131">
        <f t="shared" si="23"/>
        <v>2</v>
      </c>
      <c r="CE33" s="131">
        <f t="shared" si="23"/>
        <v>1.825102116598589</v>
      </c>
      <c r="CF33" s="131">
        <f t="shared" si="23"/>
        <v>1.2718158187894544</v>
      </c>
      <c r="CG33" s="131">
        <f t="shared" si="23"/>
        <v>1.8481247679168218</v>
      </c>
      <c r="CH33" s="131">
        <f t="shared" si="23"/>
        <v>1.6654288897140739</v>
      </c>
      <c r="CI33" s="131">
        <f t="shared" si="23"/>
        <v>1.3312291125139253</v>
      </c>
      <c r="CJ33" s="131">
        <f t="shared" si="24"/>
        <v>1.704418863720758</v>
      </c>
      <c r="CK33" s="131">
        <f t="shared" si="24"/>
        <v>1.5168956554028965</v>
      </c>
      <c r="CL33" s="131">
        <f t="shared" si="24"/>
        <v>1.5577422948384703</v>
      </c>
      <c r="CM33" s="131">
        <f t="shared" si="24"/>
        <v>1.9519123653917565</v>
      </c>
      <c r="CN33" s="131">
        <f t="shared" si="26"/>
        <v>1.565168956554029</v>
      </c>
      <c r="CO33" s="131">
        <f t="shared" si="26"/>
        <v>1.6932788711474196</v>
      </c>
      <c r="CP33" s="131">
        <f t="shared" si="26"/>
        <v>1.1696992202005201</v>
      </c>
      <c r="CQ33" s="131">
        <f t="shared" si="26"/>
        <v>1.7675454883030082</v>
      </c>
      <c r="CR33" s="131">
        <f t="shared" si="26"/>
        <v>1.7062755291496474</v>
      </c>
      <c r="CS33" s="131">
        <f t="shared" si="26"/>
        <v>2</v>
      </c>
      <c r="CT33" s="132">
        <f t="shared" si="15"/>
        <v>16.542888971407354</v>
      </c>
      <c r="CU33" s="132">
        <f t="shared" si="15"/>
        <v>17.044188637207579</v>
      </c>
      <c r="CV33" s="132">
        <f t="shared" si="15"/>
        <v>16.43148904567397</v>
      </c>
      <c r="CW33" s="132">
        <f t="shared" si="15"/>
        <v>15.85592276271816</v>
      </c>
      <c r="CX33" s="132">
        <f t="shared" si="15"/>
        <v>15.930189379873747</v>
      </c>
      <c r="CY33" s="132">
        <f t="shared" si="15"/>
        <v>17.879688080207949</v>
      </c>
      <c r="CZ33" s="132">
        <f t="shared" si="15"/>
        <v>16.765688822874122</v>
      </c>
      <c r="DA33" s="132">
        <f t="shared" si="15"/>
        <v>14.073523950984033</v>
      </c>
      <c r="DB33" s="132">
        <f t="shared" si="15"/>
        <v>0</v>
      </c>
      <c r="DC33" s="132">
        <f t="shared" si="15"/>
        <v>20</v>
      </c>
      <c r="DD33" s="132">
        <f t="shared" si="15"/>
        <v>18.25102116598589</v>
      </c>
      <c r="DE33" s="132">
        <f t="shared" si="15"/>
        <v>12.718158187894543</v>
      </c>
      <c r="DF33" s="132">
        <f t="shared" si="15"/>
        <v>18.481247679168217</v>
      </c>
      <c r="DG33" s="132">
        <f t="shared" si="15"/>
        <v>16.654288897140738</v>
      </c>
      <c r="DH33" s="132">
        <f t="shared" si="15"/>
        <v>13.312291125139252</v>
      </c>
      <c r="DI33" s="132">
        <f t="shared" si="15"/>
        <v>17.044188637207579</v>
      </c>
      <c r="DJ33" s="132">
        <f t="shared" si="25"/>
        <v>15.168956554028965</v>
      </c>
      <c r="DK33" s="132">
        <f t="shared" si="25"/>
        <v>15.577422948384703</v>
      </c>
      <c r="DL33" s="132">
        <f t="shared" si="25"/>
        <v>19.519123653917564</v>
      </c>
      <c r="DM33" s="132">
        <f t="shared" si="25"/>
        <v>15.651689565540289</v>
      </c>
      <c r="DN33" s="132">
        <f t="shared" si="25"/>
        <v>16.932788711474196</v>
      </c>
      <c r="DO33" s="132">
        <f t="shared" si="25"/>
        <v>11.6969922020052</v>
      </c>
      <c r="DP33" s="132">
        <f t="shared" si="25"/>
        <v>17.675454883030081</v>
      </c>
      <c r="DQ33" s="132">
        <f t="shared" si="25"/>
        <v>17.062755291496472</v>
      </c>
      <c r="DR33" s="58"/>
    </row>
    <row r="34" spans="1:122" ht="56">
      <c r="A34" s="50">
        <v>2017</v>
      </c>
      <c r="B34" s="51" t="s">
        <v>197</v>
      </c>
      <c r="C34" s="52">
        <f>+VLOOKUP(B34,'Indice por pilar'!$B$9:$C$20,2,FALSE)</f>
        <v>0.1</v>
      </c>
      <c r="D34" s="52">
        <f>+VLOOKUP(B34,[1]PONDERACIÓN!$B$22:$E$33,4,FALSE)</f>
        <v>0.2</v>
      </c>
      <c r="E34" s="53" t="s">
        <v>119</v>
      </c>
      <c r="F34" s="59" t="s">
        <v>205</v>
      </c>
      <c r="G34" s="60" t="s">
        <v>206</v>
      </c>
      <c r="H34" s="60" t="s">
        <v>203</v>
      </c>
      <c r="I34" s="60">
        <v>2017</v>
      </c>
      <c r="J34" s="60" t="s">
        <v>204</v>
      </c>
      <c r="K34" s="62">
        <v>174</v>
      </c>
      <c r="L34" s="62">
        <v>177</v>
      </c>
      <c r="M34" s="62">
        <v>203</v>
      </c>
      <c r="N34" s="62">
        <v>375</v>
      </c>
      <c r="O34" s="62">
        <v>238</v>
      </c>
      <c r="P34" s="62">
        <v>335</v>
      </c>
      <c r="Q34" s="62">
        <v>5.4</v>
      </c>
      <c r="R34" s="80">
        <v>1</v>
      </c>
      <c r="S34" s="62">
        <v>978</v>
      </c>
      <c r="T34" s="62">
        <v>15.6</v>
      </c>
      <c r="U34" s="62">
        <v>292</v>
      </c>
      <c r="V34" s="62">
        <v>238</v>
      </c>
      <c r="W34" s="62">
        <v>82.1</v>
      </c>
      <c r="X34" s="62">
        <v>44</v>
      </c>
      <c r="Y34" s="62">
        <v>379</v>
      </c>
      <c r="Z34" s="62">
        <v>493</v>
      </c>
      <c r="AA34" s="62">
        <v>594</v>
      </c>
      <c r="AB34" s="62">
        <v>367</v>
      </c>
      <c r="AC34" s="62">
        <v>315</v>
      </c>
      <c r="AD34" s="62">
        <v>568</v>
      </c>
      <c r="AE34" s="62">
        <v>264</v>
      </c>
      <c r="AF34" s="62">
        <v>302</v>
      </c>
      <c r="AG34" s="62">
        <v>5.2</v>
      </c>
      <c r="AH34" s="63">
        <v>177</v>
      </c>
      <c r="AI34" s="124">
        <f t="shared" si="0"/>
        <v>275.92916666666667</v>
      </c>
      <c r="AJ34" s="124">
        <f t="shared" si="1"/>
        <v>226.57029330424368</v>
      </c>
      <c r="AK34" s="125">
        <f t="shared" si="2"/>
        <v>0.82111759347988589</v>
      </c>
      <c r="AL34" s="125" t="str">
        <f>+HLOOKUP(AN34,$K34:$AH$68,35,FALSE)</f>
        <v xml:space="preserve">Esmeraldas </v>
      </c>
      <c r="AM34" s="133">
        <f t="shared" si="3"/>
        <v>978</v>
      </c>
      <c r="AN34" s="133">
        <f t="shared" si="4"/>
        <v>1</v>
      </c>
      <c r="AO34" s="124">
        <f t="shared" si="5"/>
        <v>978</v>
      </c>
      <c r="AP34" s="133">
        <f>+AN34</f>
        <v>1</v>
      </c>
      <c r="AQ34" s="127">
        <f>+HLOOKUP($AQ$3,$K$3:$AH$67,32,FALSE)</f>
        <v>15.6</v>
      </c>
      <c r="AR34" s="134">
        <f>100-(((K34-$AN34)/($AM34-$AN34))*100)</f>
        <v>82.292732855680654</v>
      </c>
      <c r="AS34" s="134">
        <f>100-(((L34-$AN34)/($AM34-$AN34))*100)</f>
        <v>81.985670419651996</v>
      </c>
      <c r="AT34" s="134">
        <f>100-(((M34-$AN34)/($AM34-$AN34))*100)</f>
        <v>79.324462640736954</v>
      </c>
      <c r="AU34" s="134">
        <f>100-(((N34-$AN34)/($AM34-$AN34))*100)</f>
        <v>61.719549641760487</v>
      </c>
      <c r="AV34" s="134">
        <f>100-(((O34-$AN34)/($AM34-$AN34))*100)</f>
        <v>75.742067553735922</v>
      </c>
      <c r="AW34" s="134">
        <f>100-(((P34-$AN34)/($AM34-$AN34))*100)</f>
        <v>65.813715455475943</v>
      </c>
      <c r="AX34" s="134">
        <f>100-(((Q34-$AN34)/($AM34-$AN34))*100)</f>
        <v>99.549641760491298</v>
      </c>
      <c r="AY34" s="134">
        <f>100-(((R34-$AN34)/($AM34-$AN34))*100)</f>
        <v>100</v>
      </c>
      <c r="AZ34" s="134">
        <f>100-(((S34-$AN34)/($AM34-$AN34))*100)</f>
        <v>0</v>
      </c>
      <c r="BA34" s="134">
        <f>100-(((T34-$AN34)/($AM34-$AN34))*100)</f>
        <v>98.505629477993864</v>
      </c>
      <c r="BB34" s="134">
        <f>100-(((U34-$AN34)/($AM34-$AN34))*100)</f>
        <v>70.214943705220065</v>
      </c>
      <c r="BC34" s="134">
        <f>100-(((V34-$AN34)/($AM34-$AN34))*100)</f>
        <v>75.742067553735922</v>
      </c>
      <c r="BD34" s="134">
        <f>100-(((W34-$AN34)/($AM34-$AN34))*100)</f>
        <v>91.699078812691909</v>
      </c>
      <c r="BE34" s="134">
        <f>100-(((X34-$AN34)/($AM34-$AN34))*100)</f>
        <v>95.598771750255892</v>
      </c>
      <c r="BF34" s="134">
        <f>100-(((Y34-$AN34)/($AM34-$AN34))*100)</f>
        <v>61.310133060388942</v>
      </c>
      <c r="BG34" s="134">
        <f>100-(((Z34-$AN34)/($AM34-$AN34))*100)</f>
        <v>49.641760491299905</v>
      </c>
      <c r="BH34" s="134">
        <f>100-(((AA34-$AN34)/($AM34-$AN34))*100)</f>
        <v>39.303991811668368</v>
      </c>
      <c r="BI34" s="134">
        <f>100-(((AB34-$AN34)/($AM34-$AN34))*100)</f>
        <v>62.538382804503584</v>
      </c>
      <c r="BJ34" s="134">
        <f>100-(((AC34-$AN34)/($AM34-$AN34))*100)</f>
        <v>67.860798362333668</v>
      </c>
      <c r="BK34" s="134">
        <f>100-(((AD34-$AN34)/($AM34-$AN34))*100)</f>
        <v>41.965199590583424</v>
      </c>
      <c r="BL34" s="134">
        <f>100-(((AE34-$AN34)/($AM34-$AN34))*100)</f>
        <v>73.08085977482088</v>
      </c>
      <c r="BM34" s="134">
        <f>100-(((AF34-$AN34)/($AM34-$AN34))*100)</f>
        <v>69.191402251791203</v>
      </c>
      <c r="BN34" s="134">
        <f>100-(((AG34-$AN34)/($AM34-$AN34))*100)</f>
        <v>99.570112589559884</v>
      </c>
      <c r="BO34" s="134">
        <f>100-(((AH34-$AN34)/($AM34-$AN34))*100)</f>
        <v>81.985670419651996</v>
      </c>
      <c r="BP34" s="129">
        <f t="shared" si="6"/>
        <v>100</v>
      </c>
      <c r="BQ34" s="129">
        <f t="shared" si="7"/>
        <v>0</v>
      </c>
      <c r="BR34" s="129">
        <f t="shared" si="8"/>
        <v>71.859860116001371</v>
      </c>
      <c r="BS34" s="129">
        <f t="shared" si="9"/>
        <v>23.190408731242933</v>
      </c>
      <c r="BT34" s="130">
        <f t="shared" si="10"/>
        <v>0.32271714269701196</v>
      </c>
      <c r="BU34" s="131">
        <f t="shared" si="23"/>
        <v>1.6458546571136132</v>
      </c>
      <c r="BV34" s="131">
        <f t="shared" si="23"/>
        <v>1.63971340839304</v>
      </c>
      <c r="BW34" s="131">
        <f t="shared" si="23"/>
        <v>1.5864892528147392</v>
      </c>
      <c r="BX34" s="131">
        <f t="shared" si="23"/>
        <v>1.2343909928352099</v>
      </c>
      <c r="BY34" s="131">
        <f t="shared" si="23"/>
        <v>1.5148413510747185</v>
      </c>
      <c r="BZ34" s="131">
        <f t="shared" si="23"/>
        <v>1.316274309109519</v>
      </c>
      <c r="CA34" s="131">
        <f t="shared" si="23"/>
        <v>1.9909928352098263</v>
      </c>
      <c r="CB34" s="131">
        <f t="shared" si="23"/>
        <v>2</v>
      </c>
      <c r="CC34" s="131">
        <f t="shared" si="23"/>
        <v>0</v>
      </c>
      <c r="CD34" s="131">
        <f t="shared" si="23"/>
        <v>1.9701125895598777</v>
      </c>
      <c r="CE34" s="131">
        <f t="shared" si="23"/>
        <v>1.4042988741044014</v>
      </c>
      <c r="CF34" s="131">
        <f t="shared" si="23"/>
        <v>1.5148413510747185</v>
      </c>
      <c r="CG34" s="131">
        <f t="shared" si="23"/>
        <v>1.8339815762538383</v>
      </c>
      <c r="CH34" s="131">
        <f t="shared" si="23"/>
        <v>1.9119754350051179</v>
      </c>
      <c r="CI34" s="131">
        <f t="shared" si="23"/>
        <v>1.226202661207779</v>
      </c>
      <c r="CJ34" s="131">
        <f t="shared" si="24"/>
        <v>0.99283520982599827</v>
      </c>
      <c r="CK34" s="131">
        <f t="shared" si="24"/>
        <v>0.78607983623336741</v>
      </c>
      <c r="CL34" s="131">
        <f t="shared" si="24"/>
        <v>1.2507676560900718</v>
      </c>
      <c r="CM34" s="131">
        <f t="shared" si="24"/>
        <v>1.3572159672466735</v>
      </c>
      <c r="CN34" s="131">
        <f t="shared" si="26"/>
        <v>0.83930399181166848</v>
      </c>
      <c r="CO34" s="131">
        <f t="shared" si="26"/>
        <v>1.4616171954964177</v>
      </c>
      <c r="CP34" s="131">
        <f t="shared" si="26"/>
        <v>1.3838280450358242</v>
      </c>
      <c r="CQ34" s="131">
        <f t="shared" si="26"/>
        <v>1.9914022517911978</v>
      </c>
      <c r="CR34" s="131">
        <f t="shared" si="26"/>
        <v>1.63971340839304</v>
      </c>
      <c r="CS34" s="131">
        <f t="shared" si="26"/>
        <v>2</v>
      </c>
      <c r="CT34" s="132">
        <f t="shared" si="15"/>
        <v>16.458546571136132</v>
      </c>
      <c r="CU34" s="132">
        <f t="shared" si="15"/>
        <v>16.3971340839304</v>
      </c>
      <c r="CV34" s="132">
        <f t="shared" si="15"/>
        <v>15.864892528147392</v>
      </c>
      <c r="CW34" s="132">
        <f t="shared" si="15"/>
        <v>12.343909928352097</v>
      </c>
      <c r="CX34" s="132">
        <f t="shared" si="15"/>
        <v>15.148413510747185</v>
      </c>
      <c r="CY34" s="132">
        <f t="shared" si="15"/>
        <v>13.162743091095189</v>
      </c>
      <c r="CZ34" s="132">
        <f t="shared" si="15"/>
        <v>19.909928352098262</v>
      </c>
      <c r="DA34" s="132">
        <f t="shared" si="15"/>
        <v>20</v>
      </c>
      <c r="DB34" s="132">
        <f t="shared" si="15"/>
        <v>0</v>
      </c>
      <c r="DC34" s="132">
        <f t="shared" si="15"/>
        <v>19.701125895598775</v>
      </c>
      <c r="DD34" s="132">
        <f t="shared" ref="CT34:DI50" si="27">+BB34*$D34</f>
        <v>14.042988741044013</v>
      </c>
      <c r="DE34" s="132">
        <f t="shared" si="27"/>
        <v>15.148413510747185</v>
      </c>
      <c r="DF34" s="132">
        <f t="shared" si="27"/>
        <v>18.339815762538382</v>
      </c>
      <c r="DG34" s="132">
        <f t="shared" si="27"/>
        <v>19.119754350051178</v>
      </c>
      <c r="DH34" s="132">
        <f t="shared" si="27"/>
        <v>12.26202661207779</v>
      </c>
      <c r="DI34" s="132">
        <f t="shared" si="27"/>
        <v>9.9283520982599818</v>
      </c>
      <c r="DJ34" s="132">
        <f t="shared" si="25"/>
        <v>7.8607983623336741</v>
      </c>
      <c r="DK34" s="132">
        <f t="shared" si="25"/>
        <v>12.507676560900718</v>
      </c>
      <c r="DL34" s="132">
        <f t="shared" si="25"/>
        <v>13.572159672466734</v>
      </c>
      <c r="DM34" s="132">
        <f t="shared" si="25"/>
        <v>8.3930399181166848</v>
      </c>
      <c r="DN34" s="132">
        <f t="shared" si="25"/>
        <v>14.616171954964177</v>
      </c>
      <c r="DO34" s="132">
        <f t="shared" si="25"/>
        <v>13.838280450358241</v>
      </c>
      <c r="DP34" s="132">
        <f t="shared" si="25"/>
        <v>19.914022517911977</v>
      </c>
      <c r="DQ34" s="132">
        <f t="shared" si="25"/>
        <v>16.3971340839304</v>
      </c>
      <c r="DR34" s="58"/>
    </row>
    <row r="35" spans="1:122" ht="57" thickBot="1">
      <c r="A35" s="50">
        <v>2017</v>
      </c>
      <c r="B35" s="51" t="s">
        <v>197</v>
      </c>
      <c r="C35" s="52">
        <f>+VLOOKUP(B35,'Indice por pilar'!$B$9:$C$20,2,FALSE)</f>
        <v>0.1</v>
      </c>
      <c r="D35" s="52">
        <f>+VLOOKUP(B35,[1]PONDERACIÓN!$B$22:$E$33,4,FALSE)</f>
        <v>0.2</v>
      </c>
      <c r="E35" s="53" t="s">
        <v>124</v>
      </c>
      <c r="F35" s="59" t="s">
        <v>207</v>
      </c>
      <c r="G35" s="60" t="s">
        <v>208</v>
      </c>
      <c r="H35" s="60" t="s">
        <v>209</v>
      </c>
      <c r="I35" s="60">
        <v>2017</v>
      </c>
      <c r="J35" s="60" t="s">
        <v>131</v>
      </c>
      <c r="K35" s="64">
        <v>0.2354</v>
      </c>
      <c r="L35" s="64">
        <v>0.1217</v>
      </c>
      <c r="M35" s="64">
        <v>0.1321</v>
      </c>
      <c r="N35" s="64">
        <v>0.14960000000000001</v>
      </c>
      <c r="O35" s="64">
        <v>0.13589999999999999</v>
      </c>
      <c r="P35" s="64">
        <v>0.1111</v>
      </c>
      <c r="Q35" s="64">
        <v>0.13170000000000001</v>
      </c>
      <c r="R35" s="64">
        <v>7.6399999999999996E-2</v>
      </c>
      <c r="S35" s="64">
        <v>0.31040000000000001</v>
      </c>
      <c r="T35" s="64">
        <v>0.15959999999999999</v>
      </c>
      <c r="U35" s="64">
        <v>0.17069999999999999</v>
      </c>
      <c r="V35" s="64">
        <v>0.1457</v>
      </c>
      <c r="W35" s="64">
        <v>5.8500000000000003E-2</v>
      </c>
      <c r="X35" s="64">
        <v>7.6300000000000007E-2</v>
      </c>
      <c r="Y35" s="64">
        <v>0.13164796539137488</v>
      </c>
      <c r="Z35" s="64">
        <v>0.11550000000000001</v>
      </c>
      <c r="AA35" s="64">
        <v>8.4000000000000005E-2</v>
      </c>
      <c r="AB35" s="64">
        <v>0.16139999999999999</v>
      </c>
      <c r="AC35" s="64">
        <v>0.31380000000000002</v>
      </c>
      <c r="AD35" s="64">
        <v>9.2299999999999993E-2</v>
      </c>
      <c r="AE35" s="64">
        <v>0.1782</v>
      </c>
      <c r="AF35" s="64">
        <v>0.1318</v>
      </c>
      <c r="AG35" s="64">
        <v>8.8900000000000007E-2</v>
      </c>
      <c r="AH35" s="65">
        <v>0.153</v>
      </c>
      <c r="AI35" s="124">
        <f t="shared" si="0"/>
        <v>0.14440199855797395</v>
      </c>
      <c r="AJ35" s="124">
        <f t="shared" si="1"/>
        <v>6.4686217297779652E-2</v>
      </c>
      <c r="AK35" s="125">
        <f t="shared" si="2"/>
        <v>0.44795929380305416</v>
      </c>
      <c r="AL35" s="125" t="str">
        <f>+HLOOKUP(AN35,$K35:$AH$68,34,FALSE)</f>
        <v>Los Ríos</v>
      </c>
      <c r="AM35" s="135">
        <f t="shared" si="3"/>
        <v>0.31380000000000002</v>
      </c>
      <c r="AN35" s="135">
        <f t="shared" si="4"/>
        <v>5.8500000000000003E-2</v>
      </c>
      <c r="AO35" s="124">
        <f t="shared" si="5"/>
        <v>5.3641025641025646</v>
      </c>
      <c r="AP35" s="135">
        <f t="shared" ref="AP35:AP51" si="28">+AM35</f>
        <v>0.31380000000000002</v>
      </c>
      <c r="AQ35" s="139">
        <f>+HLOOKUP($AQ$3,$K$3:$AH$67,33,FALSE)</f>
        <v>0.15959999999999999</v>
      </c>
      <c r="AR35" s="134">
        <f t="shared" ref="AR35:AR51" si="29">(((K35-$AN35)/($AM35-$AN35))*100)</f>
        <v>69.291030160595369</v>
      </c>
      <c r="AS35" s="134">
        <f t="shared" ref="AS35:AS51" si="30">(((L35-$AN35)/($AM35-$AN35))*100)</f>
        <v>24.755189972581277</v>
      </c>
      <c r="AT35" s="134">
        <f t="shared" ref="AT35:AT51" si="31">(((M35-$AN35)/($AM35-$AN35))*100)</f>
        <v>28.828828828828822</v>
      </c>
      <c r="AU35" s="134">
        <f t="shared" ref="AU35:AU51" si="32">(((N35-$AN35)/($AM35-$AN35))*100)</f>
        <v>35.683509596553073</v>
      </c>
      <c r="AV35" s="134">
        <f t="shared" ref="AV35:AV51" si="33">(((O35-$AN35)/($AM35-$AN35))*100)</f>
        <v>30.317273795534661</v>
      </c>
      <c r="AW35" s="134">
        <f t="shared" ref="AW35:AW51" si="34">(((P35-$AN35)/($AM35-$AN35))*100)</f>
        <v>20.603211907559732</v>
      </c>
      <c r="AX35" s="134">
        <f t="shared" ref="AX35:AX51" si="35">(((Q35-$AN35)/($AM35-$AN35))*100)</f>
        <v>28.67215041128085</v>
      </c>
      <c r="AY35" s="134">
        <f t="shared" ref="AY35:AY51" si="36">(((R35-$AN35)/($AM35-$AN35))*100)</f>
        <v>7.0113591852722257</v>
      </c>
      <c r="AZ35" s="134">
        <f t="shared" ref="AZ35:AZ51" si="37">(((S35-$AN35)/($AM35-$AN35))*100)</f>
        <v>98.668233450842152</v>
      </c>
      <c r="BA35" s="134">
        <f t="shared" ref="BA35:BA51" si="38">(((T35-$AN35)/($AM35-$AN35))*100)</f>
        <v>39.600470035252641</v>
      </c>
      <c r="BB35" s="134">
        <f t="shared" ref="BB35:BB51" si="39">(((U35-$AN35)/($AM35-$AN35))*100)</f>
        <v>43.948296122209157</v>
      </c>
      <c r="BC35" s="134">
        <f t="shared" ref="BC35:BC51" si="40">(((V35-$AN35)/($AM35-$AN35))*100)</f>
        <v>34.155895025460239</v>
      </c>
      <c r="BD35" s="134">
        <f t="shared" ref="BD35:BD51" si="41">(((W35-$AN35)/($AM35-$AN35))*100)</f>
        <v>0</v>
      </c>
      <c r="BE35" s="134">
        <f t="shared" ref="BE35:BE51" si="42">(((X35-$AN35)/($AM35-$AN35))*100)</f>
        <v>6.9721895808852334</v>
      </c>
      <c r="BF35" s="134">
        <f t="shared" ref="BF35:BF51" si="43">(((Y35-$AN35)/($AM35-$AN35))*100)</f>
        <v>28.651768660938064</v>
      </c>
      <c r="BG35" s="134">
        <f t="shared" ref="BG35:BG51" si="44">(((Z35-$AN35)/($AM35-$AN35))*100)</f>
        <v>22.326674500587544</v>
      </c>
      <c r="BH35" s="134">
        <f t="shared" ref="BH35:BH51" si="45">(((AA35-$AN35)/($AM35-$AN35))*100)</f>
        <v>9.9882491186838998</v>
      </c>
      <c r="BI35" s="134">
        <f t="shared" ref="BI35:BI51" si="46">(((AB35-$AN35)/($AM35-$AN35))*100)</f>
        <v>40.305522914218564</v>
      </c>
      <c r="BJ35" s="134">
        <f t="shared" ref="BJ35:BJ51" si="47">(((AC35-$AN35)/($AM35-$AN35))*100)</f>
        <v>100</v>
      </c>
      <c r="BK35" s="134">
        <f t="shared" ref="BK35:BK51" si="48">(((AD35-$AN35)/($AM35-$AN35))*100)</f>
        <v>13.239326282804539</v>
      </c>
      <c r="BL35" s="134">
        <f t="shared" ref="BL35:BL51" si="49">(((AE35-$AN35)/($AM35-$AN35))*100)</f>
        <v>46.886016451233836</v>
      </c>
      <c r="BM35" s="134">
        <f t="shared" ref="BM35:BM51" si="50">(((AF35-$AN35)/($AM35-$AN35))*100)</f>
        <v>28.711320015667841</v>
      </c>
      <c r="BN35" s="134">
        <f t="shared" ref="BN35:BN51" si="51">(((AG35-$AN35)/($AM35-$AN35))*100)</f>
        <v>11.907559733646691</v>
      </c>
      <c r="BO35" s="134">
        <f t="shared" ref="BO35:BO51" si="52">(((AH35-$AN35)/($AM35-$AN35))*100)</f>
        <v>37.015276145710921</v>
      </c>
      <c r="BP35" s="129">
        <f t="shared" si="6"/>
        <v>100</v>
      </c>
      <c r="BQ35" s="129">
        <f t="shared" si="7"/>
        <v>0</v>
      </c>
      <c r="BR35" s="129">
        <f t="shared" si="8"/>
        <v>33.647472995681142</v>
      </c>
      <c r="BS35" s="129">
        <f t="shared" si="9"/>
        <v>25.337335408452631</v>
      </c>
      <c r="BT35" s="130">
        <f t="shared" si="10"/>
        <v>0.75302342650530796</v>
      </c>
      <c r="BU35" s="131">
        <f t="shared" si="23"/>
        <v>1.3858206032119076</v>
      </c>
      <c r="BV35" s="131">
        <f t="shared" si="23"/>
        <v>0.49510379945162558</v>
      </c>
      <c r="BW35" s="131">
        <f t="shared" si="23"/>
        <v>0.57657657657657646</v>
      </c>
      <c r="BX35" s="131">
        <f t="shared" si="23"/>
        <v>0.71367019193106151</v>
      </c>
      <c r="BY35" s="131">
        <f t="shared" si="23"/>
        <v>0.60634547591069321</v>
      </c>
      <c r="BZ35" s="131">
        <f t="shared" si="23"/>
        <v>0.4120642381511947</v>
      </c>
      <c r="CA35" s="131">
        <f t="shared" si="23"/>
        <v>0.57344300822561711</v>
      </c>
      <c r="CB35" s="131">
        <f t="shared" si="23"/>
        <v>0.14022718370544451</v>
      </c>
      <c r="CC35" s="131">
        <f t="shared" si="23"/>
        <v>1.9733646690168432</v>
      </c>
      <c r="CD35" s="131">
        <f t="shared" si="23"/>
        <v>0.79200940070505288</v>
      </c>
      <c r="CE35" s="131">
        <f t="shared" si="23"/>
        <v>0.87896592244418326</v>
      </c>
      <c r="CF35" s="131">
        <f t="shared" si="23"/>
        <v>0.68311790050920485</v>
      </c>
      <c r="CG35" s="131">
        <f t="shared" si="23"/>
        <v>0</v>
      </c>
      <c r="CH35" s="131">
        <f t="shared" si="23"/>
        <v>0.13944379161770468</v>
      </c>
      <c r="CI35" s="131">
        <f t="shared" si="23"/>
        <v>0.5730353732187613</v>
      </c>
      <c r="CJ35" s="131">
        <f t="shared" si="24"/>
        <v>0.44653349001175091</v>
      </c>
      <c r="CK35" s="131">
        <f t="shared" si="24"/>
        <v>0.19976498237367801</v>
      </c>
      <c r="CL35" s="131">
        <f t="shared" si="24"/>
        <v>0.80611045828437133</v>
      </c>
      <c r="CM35" s="131">
        <f t="shared" si="24"/>
        <v>2</v>
      </c>
      <c r="CN35" s="131">
        <f t="shared" si="26"/>
        <v>0.26478652565609079</v>
      </c>
      <c r="CO35" s="131">
        <f t="shared" si="26"/>
        <v>0.93772032902467672</v>
      </c>
      <c r="CP35" s="131">
        <f t="shared" si="26"/>
        <v>0.57422640031335692</v>
      </c>
      <c r="CQ35" s="131">
        <f t="shared" si="26"/>
        <v>0.23815119467293383</v>
      </c>
      <c r="CR35" s="131">
        <f t="shared" si="26"/>
        <v>0.74030552291421847</v>
      </c>
      <c r="CS35" s="131">
        <f t="shared" si="26"/>
        <v>2</v>
      </c>
      <c r="CT35" s="132">
        <f t="shared" si="27"/>
        <v>13.858206032119075</v>
      </c>
      <c r="CU35" s="132">
        <f t="shared" si="27"/>
        <v>4.9510379945162555</v>
      </c>
      <c r="CV35" s="132">
        <f t="shared" si="27"/>
        <v>5.7657657657657646</v>
      </c>
      <c r="CW35" s="132">
        <f t="shared" si="27"/>
        <v>7.1367019193106147</v>
      </c>
      <c r="CX35" s="132">
        <f t="shared" si="27"/>
        <v>6.0634547591069321</v>
      </c>
      <c r="CY35" s="132">
        <f t="shared" si="27"/>
        <v>4.1206423815119466</v>
      </c>
      <c r="CZ35" s="132">
        <f t="shared" si="27"/>
        <v>5.7344300822561705</v>
      </c>
      <c r="DA35" s="132">
        <f t="shared" si="27"/>
        <v>1.4022718370544451</v>
      </c>
      <c r="DB35" s="132">
        <f t="shared" si="27"/>
        <v>19.733646690168431</v>
      </c>
      <c r="DC35" s="132">
        <f t="shared" si="27"/>
        <v>7.9200940070505288</v>
      </c>
      <c r="DD35" s="132">
        <f t="shared" si="27"/>
        <v>8.7896592244418326</v>
      </c>
      <c r="DE35" s="132">
        <f t="shared" si="27"/>
        <v>6.8311790050920482</v>
      </c>
      <c r="DF35" s="132">
        <f t="shared" si="27"/>
        <v>0</v>
      </c>
      <c r="DG35" s="132">
        <f t="shared" si="27"/>
        <v>1.3944379161770468</v>
      </c>
      <c r="DH35" s="132">
        <f t="shared" si="27"/>
        <v>5.7303537321876128</v>
      </c>
      <c r="DI35" s="132">
        <f t="shared" si="27"/>
        <v>4.4653349001175089</v>
      </c>
      <c r="DJ35" s="132">
        <f t="shared" si="25"/>
        <v>1.9976498237367801</v>
      </c>
      <c r="DK35" s="132">
        <f t="shared" si="25"/>
        <v>8.0611045828437131</v>
      </c>
      <c r="DL35" s="132">
        <f t="shared" si="25"/>
        <v>20</v>
      </c>
      <c r="DM35" s="132">
        <f t="shared" si="25"/>
        <v>2.647865256560908</v>
      </c>
      <c r="DN35" s="132">
        <f t="shared" si="25"/>
        <v>9.3772032902467668</v>
      </c>
      <c r="DO35" s="132">
        <f t="shared" si="25"/>
        <v>5.7422640031335686</v>
      </c>
      <c r="DP35" s="132">
        <f t="shared" si="25"/>
        <v>2.3815119467293382</v>
      </c>
      <c r="DQ35" s="132">
        <f t="shared" si="25"/>
        <v>7.4030552291421845</v>
      </c>
      <c r="DR35" s="58"/>
    </row>
    <row r="36" spans="1:122" ht="56">
      <c r="A36" s="50">
        <v>2017</v>
      </c>
      <c r="B36" s="51" t="s">
        <v>344</v>
      </c>
      <c r="C36" s="52">
        <f>+VLOOKUP(B36,'Indice por pilar'!$B$9:$C$20,2,FALSE)</f>
        <v>0.05</v>
      </c>
      <c r="D36" s="52" t="e">
        <f>+VLOOKUP(B36,[1]PONDERACIÓN!$B$22:$E$33,4,FALSE)</f>
        <v>#N/A</v>
      </c>
      <c r="E36" s="53" t="s">
        <v>124</v>
      </c>
      <c r="F36" s="59" t="s">
        <v>210</v>
      </c>
      <c r="G36" s="60" t="s">
        <v>211</v>
      </c>
      <c r="H36" s="60" t="s">
        <v>209</v>
      </c>
      <c r="I36" s="60">
        <v>2015</v>
      </c>
      <c r="J36" s="60" t="s">
        <v>131</v>
      </c>
      <c r="K36" s="81">
        <v>0.52</v>
      </c>
      <c r="L36" s="82">
        <v>0.4</v>
      </c>
      <c r="M36" s="81">
        <v>0.47</v>
      </c>
      <c r="N36" s="82">
        <v>0.51</v>
      </c>
      <c r="O36" s="81">
        <v>0.4</v>
      </c>
      <c r="P36" s="81">
        <v>0.47</v>
      </c>
      <c r="Q36" s="81">
        <v>0.52</v>
      </c>
      <c r="R36" s="81">
        <v>0.39</v>
      </c>
      <c r="S36" s="82">
        <v>0.65</v>
      </c>
      <c r="T36" s="81">
        <v>0.53</v>
      </c>
      <c r="U36" s="81">
        <v>0.53</v>
      </c>
      <c r="V36" s="81">
        <v>0.53</v>
      </c>
      <c r="W36" s="81">
        <v>0.49</v>
      </c>
      <c r="X36" s="81">
        <v>0.48</v>
      </c>
      <c r="Y36" s="82">
        <v>0.25</v>
      </c>
      <c r="Z36" s="82">
        <v>0.35</v>
      </c>
      <c r="AA36" s="81">
        <v>0.36</v>
      </c>
      <c r="AB36" s="81">
        <v>0.35</v>
      </c>
      <c r="AC36" s="81">
        <v>0.57999999999999996</v>
      </c>
      <c r="AD36" s="82">
        <v>0.38</v>
      </c>
      <c r="AE36" s="81">
        <v>0.52</v>
      </c>
      <c r="AF36" s="81">
        <v>0.41</v>
      </c>
      <c r="AG36" s="81">
        <v>0.46</v>
      </c>
      <c r="AH36" s="83">
        <v>0.52</v>
      </c>
      <c r="AI36" s="124">
        <f t="shared" ref="AI36:AI61" si="53">+AVERAGE(K36:AH36)</f>
        <v>0.46125000000000016</v>
      </c>
      <c r="AJ36" s="124">
        <f t="shared" ref="AJ36:AJ67" si="54">STDEVA(K36:AH36)</f>
        <v>8.9165820123300071E-2</v>
      </c>
      <c r="AK36" s="125">
        <f t="shared" si="2"/>
        <v>0.19331343116162611</v>
      </c>
      <c r="AL36" s="125" t="str">
        <f>+HLOOKUP(AN36,$K36:$AH$68,33,FALSE)</f>
        <v>Morona Santiago</v>
      </c>
      <c r="AM36" s="140">
        <f t="shared" ref="AM36:AM67" si="55">+MAX(K36:AH36)</f>
        <v>0.65</v>
      </c>
      <c r="AN36" s="140">
        <f t="shared" ref="AN36:AN67" si="56">+MIN(K36:AH36)</f>
        <v>0.25</v>
      </c>
      <c r="AO36" s="124">
        <f t="shared" si="5"/>
        <v>2.6</v>
      </c>
      <c r="AP36" s="140">
        <f t="shared" si="28"/>
        <v>0.65</v>
      </c>
      <c r="AQ36" s="136">
        <f>+HLOOKUP($AQ$3,$K$3:$AH$67,34,FALSE)</f>
        <v>0.53</v>
      </c>
      <c r="AR36" s="128">
        <f t="shared" si="29"/>
        <v>67.5</v>
      </c>
      <c r="AS36" s="128">
        <f t="shared" si="30"/>
        <v>37.500000000000007</v>
      </c>
      <c r="AT36" s="128">
        <f t="shared" si="31"/>
        <v>54.999999999999993</v>
      </c>
      <c r="AU36" s="128">
        <f t="shared" si="32"/>
        <v>65</v>
      </c>
      <c r="AV36" s="128">
        <f t="shared" si="33"/>
        <v>37.500000000000007</v>
      </c>
      <c r="AW36" s="128">
        <f t="shared" si="34"/>
        <v>54.999999999999993</v>
      </c>
      <c r="AX36" s="128">
        <f t="shared" si="35"/>
        <v>67.5</v>
      </c>
      <c r="AY36" s="128">
        <f t="shared" si="36"/>
        <v>35</v>
      </c>
      <c r="AZ36" s="128">
        <f t="shared" si="37"/>
        <v>100</v>
      </c>
      <c r="BA36" s="128">
        <f t="shared" si="38"/>
        <v>70</v>
      </c>
      <c r="BB36" s="128">
        <f t="shared" si="39"/>
        <v>70</v>
      </c>
      <c r="BC36" s="128">
        <f t="shared" si="40"/>
        <v>70</v>
      </c>
      <c r="BD36" s="128">
        <f t="shared" si="41"/>
        <v>60</v>
      </c>
      <c r="BE36" s="128">
        <f t="shared" si="42"/>
        <v>57.499999999999993</v>
      </c>
      <c r="BF36" s="128">
        <f t="shared" si="43"/>
        <v>0</v>
      </c>
      <c r="BG36" s="128">
        <f t="shared" si="44"/>
        <v>24.999999999999993</v>
      </c>
      <c r="BH36" s="128">
        <f t="shared" si="45"/>
        <v>27.499999999999996</v>
      </c>
      <c r="BI36" s="128">
        <f t="shared" si="46"/>
        <v>24.999999999999993</v>
      </c>
      <c r="BJ36" s="128">
        <f t="shared" si="47"/>
        <v>82.499999999999986</v>
      </c>
      <c r="BK36" s="128">
        <f t="shared" si="48"/>
        <v>32.5</v>
      </c>
      <c r="BL36" s="128">
        <f t="shared" si="49"/>
        <v>67.5</v>
      </c>
      <c r="BM36" s="128">
        <f t="shared" si="50"/>
        <v>39.999999999999993</v>
      </c>
      <c r="BN36" s="128">
        <f t="shared" si="51"/>
        <v>52.5</v>
      </c>
      <c r="BO36" s="128">
        <f t="shared" si="52"/>
        <v>67.5</v>
      </c>
      <c r="BP36" s="129">
        <f t="shared" si="6"/>
        <v>100</v>
      </c>
      <c r="BQ36" s="129">
        <f t="shared" si="7"/>
        <v>0</v>
      </c>
      <c r="BR36" s="129">
        <f t="shared" si="8"/>
        <v>52.8125</v>
      </c>
      <c r="BS36" s="129">
        <f t="shared" si="9"/>
        <v>22.291455030825251</v>
      </c>
      <c r="BT36" s="130">
        <f t="shared" si="10"/>
        <v>0.4220867224771645</v>
      </c>
      <c r="BU36" s="131" t="e">
        <f t="shared" si="23"/>
        <v>#N/A</v>
      </c>
      <c r="BV36" s="131" t="e">
        <f t="shared" si="23"/>
        <v>#N/A</v>
      </c>
      <c r="BW36" s="131" t="e">
        <f t="shared" si="23"/>
        <v>#N/A</v>
      </c>
      <c r="BX36" s="131" t="e">
        <f t="shared" si="23"/>
        <v>#N/A</v>
      </c>
      <c r="BY36" s="131" t="e">
        <f t="shared" si="23"/>
        <v>#N/A</v>
      </c>
      <c r="BZ36" s="131" t="e">
        <f t="shared" si="23"/>
        <v>#N/A</v>
      </c>
      <c r="CA36" s="131" t="e">
        <f t="shared" si="23"/>
        <v>#N/A</v>
      </c>
      <c r="CB36" s="131" t="e">
        <f t="shared" si="23"/>
        <v>#N/A</v>
      </c>
      <c r="CC36" s="131" t="e">
        <f t="shared" si="23"/>
        <v>#N/A</v>
      </c>
      <c r="CD36" s="131" t="e">
        <f t="shared" si="23"/>
        <v>#N/A</v>
      </c>
      <c r="CE36" s="131" t="e">
        <f t="shared" si="23"/>
        <v>#N/A</v>
      </c>
      <c r="CF36" s="131" t="e">
        <f t="shared" si="23"/>
        <v>#N/A</v>
      </c>
      <c r="CG36" s="131" t="e">
        <f t="shared" si="23"/>
        <v>#N/A</v>
      </c>
      <c r="CH36" s="131" t="e">
        <f t="shared" si="23"/>
        <v>#N/A</v>
      </c>
      <c r="CI36" s="131" t="e">
        <f t="shared" si="23"/>
        <v>#N/A</v>
      </c>
      <c r="CJ36" s="131" t="e">
        <f t="shared" si="24"/>
        <v>#N/A</v>
      </c>
      <c r="CK36" s="131" t="e">
        <f t="shared" si="24"/>
        <v>#N/A</v>
      </c>
      <c r="CL36" s="131" t="e">
        <f t="shared" si="24"/>
        <v>#N/A</v>
      </c>
      <c r="CM36" s="131" t="e">
        <f t="shared" si="24"/>
        <v>#N/A</v>
      </c>
      <c r="CN36" s="131" t="e">
        <f t="shared" si="26"/>
        <v>#N/A</v>
      </c>
      <c r="CO36" s="131" t="e">
        <f t="shared" si="26"/>
        <v>#N/A</v>
      </c>
      <c r="CP36" s="131" t="e">
        <f t="shared" si="26"/>
        <v>#N/A</v>
      </c>
      <c r="CQ36" s="131" t="e">
        <f t="shared" si="26"/>
        <v>#N/A</v>
      </c>
      <c r="CR36" s="131" t="e">
        <f t="shared" si="26"/>
        <v>#N/A</v>
      </c>
      <c r="CS36" s="131" t="e">
        <f t="shared" si="26"/>
        <v>#N/A</v>
      </c>
      <c r="CT36" s="132" t="e">
        <f t="shared" si="27"/>
        <v>#N/A</v>
      </c>
      <c r="CU36" s="132" t="e">
        <f t="shared" si="27"/>
        <v>#N/A</v>
      </c>
      <c r="CV36" s="132" t="e">
        <f t="shared" si="27"/>
        <v>#N/A</v>
      </c>
      <c r="CW36" s="132" t="e">
        <f t="shared" si="27"/>
        <v>#N/A</v>
      </c>
      <c r="CX36" s="132" t="e">
        <f t="shared" si="27"/>
        <v>#N/A</v>
      </c>
      <c r="CY36" s="132" t="e">
        <f t="shared" si="27"/>
        <v>#N/A</v>
      </c>
      <c r="CZ36" s="132" t="e">
        <f t="shared" si="27"/>
        <v>#N/A</v>
      </c>
      <c r="DA36" s="132" t="e">
        <f t="shared" si="27"/>
        <v>#N/A</v>
      </c>
      <c r="DB36" s="132" t="e">
        <f t="shared" si="27"/>
        <v>#N/A</v>
      </c>
      <c r="DC36" s="132" t="e">
        <f t="shared" si="27"/>
        <v>#N/A</v>
      </c>
      <c r="DD36" s="132" t="e">
        <f t="shared" si="27"/>
        <v>#N/A</v>
      </c>
      <c r="DE36" s="132" t="e">
        <f t="shared" si="27"/>
        <v>#N/A</v>
      </c>
      <c r="DF36" s="132" t="e">
        <f t="shared" si="27"/>
        <v>#N/A</v>
      </c>
      <c r="DG36" s="132" t="e">
        <f t="shared" si="27"/>
        <v>#N/A</v>
      </c>
      <c r="DH36" s="132" t="e">
        <f t="shared" si="27"/>
        <v>#N/A</v>
      </c>
      <c r="DI36" s="132" t="e">
        <f t="shared" si="27"/>
        <v>#N/A</v>
      </c>
      <c r="DJ36" s="132" t="e">
        <f t="shared" ref="DJ36:DQ67" si="57">+BH36*$D36</f>
        <v>#N/A</v>
      </c>
      <c r="DK36" s="132" t="e">
        <f t="shared" si="57"/>
        <v>#N/A</v>
      </c>
      <c r="DL36" s="132" t="e">
        <f t="shared" si="57"/>
        <v>#N/A</v>
      </c>
      <c r="DM36" s="132" t="e">
        <f t="shared" si="57"/>
        <v>#N/A</v>
      </c>
      <c r="DN36" s="132" t="e">
        <f t="shared" si="57"/>
        <v>#N/A</v>
      </c>
      <c r="DO36" s="132" t="e">
        <f t="shared" si="57"/>
        <v>#N/A</v>
      </c>
      <c r="DP36" s="132" t="e">
        <f t="shared" si="57"/>
        <v>#N/A</v>
      </c>
      <c r="DQ36" s="132" t="e">
        <f t="shared" si="57"/>
        <v>#N/A</v>
      </c>
      <c r="DR36" s="58"/>
    </row>
    <row r="37" spans="1:122" ht="56">
      <c r="A37" s="50">
        <v>2017</v>
      </c>
      <c r="B37" s="51" t="s">
        <v>344</v>
      </c>
      <c r="C37" s="52">
        <f>+VLOOKUP(B37,'Indice por pilar'!$B$9:$C$20,2,FALSE)</f>
        <v>0.05</v>
      </c>
      <c r="D37" s="52" t="e">
        <f>+VLOOKUP(B37,[1]PONDERACIÓN!$B$22:$E$33,4,FALSE)</f>
        <v>#N/A</v>
      </c>
      <c r="E37" s="67" t="s">
        <v>124</v>
      </c>
      <c r="F37" s="59" t="s">
        <v>212</v>
      </c>
      <c r="G37" s="60" t="s">
        <v>213</v>
      </c>
      <c r="H37" s="60" t="s">
        <v>209</v>
      </c>
      <c r="I37" s="60">
        <v>2017</v>
      </c>
      <c r="J37" s="60" t="s">
        <v>131</v>
      </c>
      <c r="K37" s="64">
        <v>0.12859999999999999</v>
      </c>
      <c r="L37" s="64">
        <v>4.7600000000000003E-2</v>
      </c>
      <c r="M37" s="64">
        <v>7.5999999999999998E-2</v>
      </c>
      <c r="N37" s="64">
        <v>7.3800000000000004E-2</v>
      </c>
      <c r="O37" s="64">
        <v>8.1000000000000003E-2</v>
      </c>
      <c r="P37" s="64">
        <v>6.2100000000000002E-2</v>
      </c>
      <c r="Q37" s="64">
        <v>8.3500000000000005E-2</v>
      </c>
      <c r="R37" s="64">
        <v>5.5E-2</v>
      </c>
      <c r="S37" s="74">
        <v>0.13150000000000001</v>
      </c>
      <c r="T37" s="64">
        <v>0.109</v>
      </c>
      <c r="U37" s="64">
        <v>0.1109</v>
      </c>
      <c r="V37" s="64">
        <v>9.4500000000000001E-2</v>
      </c>
      <c r="W37" s="64">
        <v>3.9600000000000003E-2</v>
      </c>
      <c r="X37" s="64">
        <v>5.6899999999999999E-2</v>
      </c>
      <c r="Y37" s="64">
        <v>5.3199999999999997E-2</v>
      </c>
      <c r="Z37" s="64">
        <v>6.5600000000000006E-2</v>
      </c>
      <c r="AA37" s="64">
        <v>5.7299999999999997E-2</v>
      </c>
      <c r="AB37" s="64">
        <v>8.5000000000000006E-2</v>
      </c>
      <c r="AC37" s="64">
        <v>0.17660000000000001</v>
      </c>
      <c r="AD37" s="64">
        <v>5.2999999999999999E-2</v>
      </c>
      <c r="AE37" s="64">
        <v>0.109</v>
      </c>
      <c r="AF37" s="64">
        <v>6.1100000000000002E-2</v>
      </c>
      <c r="AG37" s="64">
        <v>5.74E-2</v>
      </c>
      <c r="AH37" s="65">
        <v>8.4099999999999994E-2</v>
      </c>
      <c r="AI37" s="124">
        <f t="shared" si="53"/>
        <v>8.1345833333333326E-2</v>
      </c>
      <c r="AJ37" s="124">
        <f t="shared" si="54"/>
        <v>3.2609454206152994E-2</v>
      </c>
      <c r="AK37" s="125">
        <f t="shared" si="2"/>
        <v>0.40087430259062229</v>
      </c>
      <c r="AL37" s="125" t="str">
        <f>+HLOOKUP(AN37,$K37:$AH$68,32,FALSE)</f>
        <v>Los Ríos</v>
      </c>
      <c r="AM37" s="135">
        <f t="shared" si="55"/>
        <v>0.17660000000000001</v>
      </c>
      <c r="AN37" s="135">
        <f t="shared" si="56"/>
        <v>3.9600000000000003E-2</v>
      </c>
      <c r="AO37" s="124">
        <f t="shared" si="5"/>
        <v>4.4595959595959593</v>
      </c>
      <c r="AP37" s="135">
        <f t="shared" si="28"/>
        <v>0.17660000000000001</v>
      </c>
      <c r="AQ37" s="139">
        <f>+HLOOKUP($AQ$3,$K$3:$AH$67,35,FALSE)</f>
        <v>0.109</v>
      </c>
      <c r="AR37" s="134">
        <f t="shared" si="29"/>
        <v>64.96350364963503</v>
      </c>
      <c r="AS37" s="134">
        <f t="shared" si="30"/>
        <v>5.8394160583941606</v>
      </c>
      <c r="AT37" s="134">
        <f t="shared" si="31"/>
        <v>26.569343065693424</v>
      </c>
      <c r="AU37" s="134">
        <f t="shared" si="32"/>
        <v>24.963503649635037</v>
      </c>
      <c r="AV37" s="134">
        <f t="shared" si="33"/>
        <v>30.21897810218978</v>
      </c>
      <c r="AW37" s="134">
        <f t="shared" si="34"/>
        <v>16.423357664233578</v>
      </c>
      <c r="AX37" s="134">
        <f t="shared" si="35"/>
        <v>32.043795620437955</v>
      </c>
      <c r="AY37" s="134">
        <f t="shared" si="36"/>
        <v>11.240875912408756</v>
      </c>
      <c r="AZ37" s="134">
        <f t="shared" si="37"/>
        <v>67.080291970802918</v>
      </c>
      <c r="BA37" s="134">
        <f t="shared" si="38"/>
        <v>50.656934306569333</v>
      </c>
      <c r="BB37" s="134">
        <f t="shared" si="39"/>
        <v>52.043795620437947</v>
      </c>
      <c r="BC37" s="134">
        <f t="shared" si="40"/>
        <v>40.07299270072992</v>
      </c>
      <c r="BD37" s="134">
        <f t="shared" si="41"/>
        <v>0</v>
      </c>
      <c r="BE37" s="134">
        <f t="shared" si="42"/>
        <v>12.627737226277368</v>
      </c>
      <c r="BF37" s="134">
        <f t="shared" si="43"/>
        <v>9.927007299270068</v>
      </c>
      <c r="BG37" s="134">
        <f t="shared" si="44"/>
        <v>18.978102189781019</v>
      </c>
      <c r="BH37" s="134">
        <f t="shared" si="45"/>
        <v>12.919708029197075</v>
      </c>
      <c r="BI37" s="134">
        <f t="shared" si="46"/>
        <v>33.138686131386862</v>
      </c>
      <c r="BJ37" s="134">
        <f t="shared" si="47"/>
        <v>100</v>
      </c>
      <c r="BK37" s="134">
        <f t="shared" si="48"/>
        <v>9.7810218978102146</v>
      </c>
      <c r="BL37" s="134">
        <f t="shared" si="49"/>
        <v>50.656934306569333</v>
      </c>
      <c r="BM37" s="134">
        <f t="shared" si="50"/>
        <v>15.693430656934304</v>
      </c>
      <c r="BN37" s="134">
        <f t="shared" si="51"/>
        <v>12.992700729927003</v>
      </c>
      <c r="BO37" s="134">
        <f t="shared" si="52"/>
        <v>32.481751824817515</v>
      </c>
      <c r="BP37" s="129">
        <f t="shared" si="6"/>
        <v>100</v>
      </c>
      <c r="BQ37" s="129">
        <f t="shared" si="7"/>
        <v>0</v>
      </c>
      <c r="BR37" s="129">
        <f t="shared" si="8"/>
        <v>30.471411192214109</v>
      </c>
      <c r="BS37" s="129">
        <f t="shared" si="9"/>
        <v>23.80252131835984</v>
      </c>
      <c r="BT37" s="130">
        <f t="shared" si="10"/>
        <v>0.78114272976112553</v>
      </c>
      <c r="BU37" s="131" t="e">
        <f t="shared" ref="BU37:CJ53" si="58">+AR37*$C37*$D37</f>
        <v>#N/A</v>
      </c>
      <c r="BV37" s="131" t="e">
        <f t="shared" si="58"/>
        <v>#N/A</v>
      </c>
      <c r="BW37" s="131" t="e">
        <f t="shared" si="58"/>
        <v>#N/A</v>
      </c>
      <c r="BX37" s="131" t="e">
        <f t="shared" si="58"/>
        <v>#N/A</v>
      </c>
      <c r="BY37" s="131" t="e">
        <f t="shared" si="58"/>
        <v>#N/A</v>
      </c>
      <c r="BZ37" s="131" t="e">
        <f t="shared" si="58"/>
        <v>#N/A</v>
      </c>
      <c r="CA37" s="131" t="e">
        <f t="shared" si="58"/>
        <v>#N/A</v>
      </c>
      <c r="CB37" s="131" t="e">
        <f t="shared" si="58"/>
        <v>#N/A</v>
      </c>
      <c r="CC37" s="131" t="e">
        <f t="shared" si="58"/>
        <v>#N/A</v>
      </c>
      <c r="CD37" s="131" t="e">
        <f t="shared" si="58"/>
        <v>#N/A</v>
      </c>
      <c r="CE37" s="131" t="e">
        <f t="shared" si="58"/>
        <v>#N/A</v>
      </c>
      <c r="CF37" s="131" t="e">
        <f t="shared" si="58"/>
        <v>#N/A</v>
      </c>
      <c r="CG37" s="131" t="e">
        <f t="shared" si="58"/>
        <v>#N/A</v>
      </c>
      <c r="CH37" s="131" t="e">
        <f t="shared" si="58"/>
        <v>#N/A</v>
      </c>
      <c r="CI37" s="131" t="e">
        <f t="shared" si="58"/>
        <v>#N/A</v>
      </c>
      <c r="CJ37" s="131" t="e">
        <f t="shared" si="24"/>
        <v>#N/A</v>
      </c>
      <c r="CK37" s="131" t="e">
        <f t="shared" si="24"/>
        <v>#N/A</v>
      </c>
      <c r="CL37" s="131" t="e">
        <f t="shared" si="24"/>
        <v>#N/A</v>
      </c>
      <c r="CM37" s="131" t="e">
        <f t="shared" si="24"/>
        <v>#N/A</v>
      </c>
      <c r="CN37" s="131" t="e">
        <f t="shared" si="26"/>
        <v>#N/A</v>
      </c>
      <c r="CO37" s="131" t="e">
        <f t="shared" si="26"/>
        <v>#N/A</v>
      </c>
      <c r="CP37" s="131" t="e">
        <f t="shared" si="26"/>
        <v>#N/A</v>
      </c>
      <c r="CQ37" s="131" t="e">
        <f t="shared" si="26"/>
        <v>#N/A</v>
      </c>
      <c r="CR37" s="131" t="e">
        <f t="shared" si="26"/>
        <v>#N/A</v>
      </c>
      <c r="CS37" s="131" t="e">
        <f t="shared" si="26"/>
        <v>#N/A</v>
      </c>
      <c r="CT37" s="132" t="e">
        <f t="shared" si="27"/>
        <v>#N/A</v>
      </c>
      <c r="CU37" s="132" t="e">
        <f t="shared" si="27"/>
        <v>#N/A</v>
      </c>
      <c r="CV37" s="132" t="e">
        <f t="shared" si="27"/>
        <v>#N/A</v>
      </c>
      <c r="CW37" s="132" t="e">
        <f t="shared" si="27"/>
        <v>#N/A</v>
      </c>
      <c r="CX37" s="132" t="e">
        <f t="shared" si="27"/>
        <v>#N/A</v>
      </c>
      <c r="CY37" s="132" t="e">
        <f t="shared" si="27"/>
        <v>#N/A</v>
      </c>
      <c r="CZ37" s="132" t="e">
        <f t="shared" si="27"/>
        <v>#N/A</v>
      </c>
      <c r="DA37" s="132" t="e">
        <f t="shared" si="27"/>
        <v>#N/A</v>
      </c>
      <c r="DB37" s="132" t="e">
        <f t="shared" si="27"/>
        <v>#N/A</v>
      </c>
      <c r="DC37" s="132" t="e">
        <f t="shared" si="27"/>
        <v>#N/A</v>
      </c>
      <c r="DD37" s="132" t="e">
        <f t="shared" si="27"/>
        <v>#N/A</v>
      </c>
      <c r="DE37" s="132" t="e">
        <f t="shared" si="27"/>
        <v>#N/A</v>
      </c>
      <c r="DF37" s="132" t="e">
        <f t="shared" si="27"/>
        <v>#N/A</v>
      </c>
      <c r="DG37" s="132" t="e">
        <f t="shared" si="27"/>
        <v>#N/A</v>
      </c>
      <c r="DH37" s="132" t="e">
        <f t="shared" si="27"/>
        <v>#N/A</v>
      </c>
      <c r="DI37" s="132" t="e">
        <f t="shared" si="27"/>
        <v>#N/A</v>
      </c>
      <c r="DJ37" s="132" t="e">
        <f t="shared" si="57"/>
        <v>#N/A</v>
      </c>
      <c r="DK37" s="132" t="e">
        <f t="shared" si="57"/>
        <v>#N/A</v>
      </c>
      <c r="DL37" s="132" t="e">
        <f t="shared" si="57"/>
        <v>#N/A</v>
      </c>
      <c r="DM37" s="132" t="e">
        <f t="shared" si="57"/>
        <v>#N/A</v>
      </c>
      <c r="DN37" s="132" t="e">
        <f t="shared" si="57"/>
        <v>#N/A</v>
      </c>
      <c r="DO37" s="132" t="e">
        <f t="shared" si="57"/>
        <v>#N/A</v>
      </c>
      <c r="DP37" s="132" t="e">
        <f t="shared" si="57"/>
        <v>#N/A</v>
      </c>
      <c r="DQ37" s="132" t="e">
        <f t="shared" si="57"/>
        <v>#N/A</v>
      </c>
      <c r="DR37" s="58"/>
    </row>
    <row r="38" spans="1:122" ht="42">
      <c r="A38" s="50">
        <v>2017</v>
      </c>
      <c r="B38" s="51" t="s">
        <v>344</v>
      </c>
      <c r="C38" s="52">
        <f>+VLOOKUP(B38,'Indice por pilar'!$B$9:$C$20,2,FALSE)</f>
        <v>0.05</v>
      </c>
      <c r="D38" s="52" t="e">
        <f>+VLOOKUP(B38,[1]PONDERACIÓN!$B$22:$E$33,4,FALSE)</f>
        <v>#N/A</v>
      </c>
      <c r="E38" s="67" t="s">
        <v>124</v>
      </c>
      <c r="F38" s="71" t="s">
        <v>214</v>
      </c>
      <c r="G38" s="60" t="s">
        <v>215</v>
      </c>
      <c r="H38" s="60" t="s">
        <v>348</v>
      </c>
      <c r="I38" s="60">
        <v>2015</v>
      </c>
      <c r="J38" s="60" t="s">
        <v>177</v>
      </c>
      <c r="K38" s="84">
        <v>7384.9187000000002</v>
      </c>
      <c r="L38" s="84">
        <v>11419.01863</v>
      </c>
      <c r="M38" s="84">
        <v>8908.2705700000006</v>
      </c>
      <c r="N38" s="84">
        <v>9919.5254199999999</v>
      </c>
      <c r="O38" s="84">
        <v>10639.3418</v>
      </c>
      <c r="P38" s="84">
        <v>6334.2334499999997</v>
      </c>
      <c r="Q38" s="84">
        <v>5595.5209199999999</v>
      </c>
      <c r="R38" s="84">
        <v>3529.3544900000002</v>
      </c>
      <c r="S38" s="85">
        <v>3303.6140700000001</v>
      </c>
      <c r="T38" s="84">
        <v>5151.3064199999999</v>
      </c>
      <c r="U38" s="84">
        <v>7249.3245299999999</v>
      </c>
      <c r="V38" s="84">
        <v>9406.0574699999997</v>
      </c>
      <c r="W38" s="84">
        <v>4301.4207399999996</v>
      </c>
      <c r="X38" s="84">
        <v>5357.0646399999996</v>
      </c>
      <c r="Y38" s="84">
        <v>3204.0016222793029</v>
      </c>
      <c r="Z38" s="84">
        <v>3413.7921099999999</v>
      </c>
      <c r="AA38" s="84">
        <v>51.321150000000003</v>
      </c>
      <c r="AB38" s="84">
        <v>5897.5611500000005</v>
      </c>
      <c r="AC38" s="84">
        <v>8612.0063499999997</v>
      </c>
      <c r="AD38" s="84">
        <v>611.99509999999998</v>
      </c>
      <c r="AE38" s="84">
        <v>8949.9646200000007</v>
      </c>
      <c r="AF38" s="84">
        <v>4071.0908800000002</v>
      </c>
      <c r="AG38" s="84">
        <v>22.67625</v>
      </c>
      <c r="AH38" s="86">
        <v>19.021070000000002</v>
      </c>
      <c r="AI38" s="124">
        <f t="shared" si="53"/>
        <v>5556.3500896783016</v>
      </c>
      <c r="AJ38" s="124">
        <f t="shared" si="54"/>
        <v>3441.5298752804993</v>
      </c>
      <c r="AK38" s="125">
        <f t="shared" si="2"/>
        <v>0.61938679524057039</v>
      </c>
      <c r="AL38" s="125" t="str">
        <f>+HLOOKUP(AN38,$K38:$AH$68,31,FALSE)</f>
        <v>Santo Domingo de los Tsachilas</v>
      </c>
      <c r="AM38" s="141">
        <f t="shared" si="55"/>
        <v>11419.01863</v>
      </c>
      <c r="AN38" s="141">
        <f t="shared" si="56"/>
        <v>19.021070000000002</v>
      </c>
      <c r="AO38" s="124">
        <f t="shared" si="5"/>
        <v>600.33524034136883</v>
      </c>
      <c r="AP38" s="141">
        <f t="shared" si="28"/>
        <v>11419.01863</v>
      </c>
      <c r="AQ38" s="127">
        <f>+HLOOKUP($AQ$3,$K$3:$AH$67,36,FALSE)</f>
        <v>5151.3064199999999</v>
      </c>
      <c r="AR38" s="134">
        <f t="shared" si="29"/>
        <v>64.613150934744596</v>
      </c>
      <c r="AS38" s="134">
        <f t="shared" si="30"/>
        <v>100</v>
      </c>
      <c r="AT38" s="134">
        <f t="shared" si="31"/>
        <v>77.975889496593894</v>
      </c>
      <c r="AU38" s="134">
        <f t="shared" si="32"/>
        <v>86.846547974173419</v>
      </c>
      <c r="AV38" s="134">
        <f t="shared" si="33"/>
        <v>93.160728097559343</v>
      </c>
      <c r="AW38" s="134">
        <f t="shared" si="34"/>
        <v>55.396611681380051</v>
      </c>
      <c r="AX38" s="134">
        <f t="shared" si="35"/>
        <v>48.916675820762194</v>
      </c>
      <c r="AY38" s="134">
        <f t="shared" si="36"/>
        <v>30.792405011707739</v>
      </c>
      <c r="AZ38" s="134">
        <f t="shared" si="37"/>
        <v>28.812225465072821</v>
      </c>
      <c r="BA38" s="134">
        <f t="shared" si="38"/>
        <v>45.020056565696322</v>
      </c>
      <c r="BB38" s="134">
        <f t="shared" si="39"/>
        <v>63.423728136306721</v>
      </c>
      <c r="BC38" s="134">
        <f t="shared" si="40"/>
        <v>82.342442185575337</v>
      </c>
      <c r="BD38" s="134">
        <f t="shared" si="41"/>
        <v>37.564917426175306</v>
      </c>
      <c r="BE38" s="134">
        <f t="shared" si="42"/>
        <v>46.824953618674279</v>
      </c>
      <c r="BF38" s="134">
        <f t="shared" si="43"/>
        <v>27.938431876991586</v>
      </c>
      <c r="BG38" s="134">
        <f t="shared" si="44"/>
        <v>29.778699707019939</v>
      </c>
      <c r="BH38" s="134">
        <f t="shared" si="45"/>
        <v>0.28333409573115736</v>
      </c>
      <c r="BI38" s="134">
        <f t="shared" si="46"/>
        <v>51.566152089597473</v>
      </c>
      <c r="BJ38" s="134">
        <f t="shared" si="47"/>
        <v>75.377079992989053</v>
      </c>
      <c r="BK38" s="134">
        <f t="shared" si="48"/>
        <v>5.2015276922568043</v>
      </c>
      <c r="BL38" s="134">
        <f t="shared" si="49"/>
        <v>78.34162685557628</v>
      </c>
      <c r="BM38" s="134">
        <f t="shared" si="50"/>
        <v>35.544479625309677</v>
      </c>
      <c r="BN38" s="134">
        <f t="shared" si="51"/>
        <v>3.2062989318745065E-2</v>
      </c>
      <c r="BO38" s="134">
        <f t="shared" si="52"/>
        <v>0</v>
      </c>
      <c r="BP38" s="129">
        <f t="shared" si="6"/>
        <v>100</v>
      </c>
      <c r="BQ38" s="129">
        <f t="shared" si="7"/>
        <v>0</v>
      </c>
      <c r="BR38" s="129">
        <f t="shared" si="8"/>
        <v>48.573071972467197</v>
      </c>
      <c r="BS38" s="129">
        <f t="shared" si="9"/>
        <v>30.188865016568439</v>
      </c>
      <c r="BT38" s="130">
        <f t="shared" si="10"/>
        <v>0.62151442745232321</v>
      </c>
      <c r="BU38" s="131" t="e">
        <f t="shared" si="58"/>
        <v>#N/A</v>
      </c>
      <c r="BV38" s="131" t="e">
        <f t="shared" si="58"/>
        <v>#N/A</v>
      </c>
      <c r="BW38" s="131" t="e">
        <f t="shared" si="58"/>
        <v>#N/A</v>
      </c>
      <c r="BX38" s="131" t="e">
        <f t="shared" si="58"/>
        <v>#N/A</v>
      </c>
      <c r="BY38" s="131" t="e">
        <f t="shared" si="58"/>
        <v>#N/A</v>
      </c>
      <c r="BZ38" s="131" t="e">
        <f t="shared" si="58"/>
        <v>#N/A</v>
      </c>
      <c r="CA38" s="131" t="e">
        <f t="shared" si="58"/>
        <v>#N/A</v>
      </c>
      <c r="CB38" s="131" t="e">
        <f t="shared" si="58"/>
        <v>#N/A</v>
      </c>
      <c r="CC38" s="131" t="e">
        <f t="shared" si="58"/>
        <v>#N/A</v>
      </c>
      <c r="CD38" s="131" t="e">
        <f t="shared" si="58"/>
        <v>#N/A</v>
      </c>
      <c r="CE38" s="131" t="e">
        <f t="shared" si="58"/>
        <v>#N/A</v>
      </c>
      <c r="CF38" s="131" t="e">
        <f t="shared" si="58"/>
        <v>#N/A</v>
      </c>
      <c r="CG38" s="131" t="e">
        <f t="shared" si="58"/>
        <v>#N/A</v>
      </c>
      <c r="CH38" s="131" t="e">
        <f t="shared" si="58"/>
        <v>#N/A</v>
      </c>
      <c r="CI38" s="131" t="e">
        <f t="shared" si="58"/>
        <v>#N/A</v>
      </c>
      <c r="CJ38" s="131" t="e">
        <f t="shared" si="24"/>
        <v>#N/A</v>
      </c>
      <c r="CK38" s="131" t="e">
        <f t="shared" si="24"/>
        <v>#N/A</v>
      </c>
      <c r="CL38" s="131" t="e">
        <f t="shared" si="24"/>
        <v>#N/A</v>
      </c>
      <c r="CM38" s="131" t="e">
        <f t="shared" si="24"/>
        <v>#N/A</v>
      </c>
      <c r="CN38" s="131" t="e">
        <f t="shared" si="26"/>
        <v>#N/A</v>
      </c>
      <c r="CO38" s="131" t="e">
        <f t="shared" si="26"/>
        <v>#N/A</v>
      </c>
      <c r="CP38" s="131" t="e">
        <f t="shared" si="26"/>
        <v>#N/A</v>
      </c>
      <c r="CQ38" s="131" t="e">
        <f t="shared" si="26"/>
        <v>#N/A</v>
      </c>
      <c r="CR38" s="131" t="e">
        <f t="shared" si="26"/>
        <v>#N/A</v>
      </c>
      <c r="CS38" s="131" t="e">
        <f t="shared" si="26"/>
        <v>#N/A</v>
      </c>
      <c r="CT38" s="132" t="e">
        <f t="shared" si="27"/>
        <v>#N/A</v>
      </c>
      <c r="CU38" s="132" t="e">
        <f t="shared" si="27"/>
        <v>#N/A</v>
      </c>
      <c r="CV38" s="132" t="e">
        <f t="shared" si="27"/>
        <v>#N/A</v>
      </c>
      <c r="CW38" s="132" t="e">
        <f t="shared" si="27"/>
        <v>#N/A</v>
      </c>
      <c r="CX38" s="132" t="e">
        <f t="shared" si="27"/>
        <v>#N/A</v>
      </c>
      <c r="CY38" s="132" t="e">
        <f t="shared" si="27"/>
        <v>#N/A</v>
      </c>
      <c r="CZ38" s="132" t="e">
        <f t="shared" si="27"/>
        <v>#N/A</v>
      </c>
      <c r="DA38" s="132" t="e">
        <f t="shared" si="27"/>
        <v>#N/A</v>
      </c>
      <c r="DB38" s="132" t="e">
        <f t="shared" si="27"/>
        <v>#N/A</v>
      </c>
      <c r="DC38" s="132" t="e">
        <f t="shared" si="27"/>
        <v>#N/A</v>
      </c>
      <c r="DD38" s="132" t="e">
        <f t="shared" si="27"/>
        <v>#N/A</v>
      </c>
      <c r="DE38" s="132" t="e">
        <f t="shared" si="27"/>
        <v>#N/A</v>
      </c>
      <c r="DF38" s="132" t="e">
        <f t="shared" si="27"/>
        <v>#N/A</v>
      </c>
      <c r="DG38" s="132" t="e">
        <f t="shared" si="27"/>
        <v>#N/A</v>
      </c>
      <c r="DH38" s="132" t="e">
        <f t="shared" si="27"/>
        <v>#N/A</v>
      </c>
      <c r="DI38" s="132" t="e">
        <f t="shared" si="27"/>
        <v>#N/A</v>
      </c>
      <c r="DJ38" s="132" t="e">
        <f t="shared" si="57"/>
        <v>#N/A</v>
      </c>
      <c r="DK38" s="132" t="e">
        <f t="shared" si="57"/>
        <v>#N/A</v>
      </c>
      <c r="DL38" s="132" t="e">
        <f t="shared" si="57"/>
        <v>#N/A</v>
      </c>
      <c r="DM38" s="132" t="e">
        <f t="shared" si="57"/>
        <v>#N/A</v>
      </c>
      <c r="DN38" s="132" t="e">
        <f t="shared" si="57"/>
        <v>#N/A</v>
      </c>
      <c r="DO38" s="132" t="e">
        <f t="shared" si="57"/>
        <v>#N/A</v>
      </c>
      <c r="DP38" s="132" t="e">
        <f t="shared" si="57"/>
        <v>#N/A</v>
      </c>
      <c r="DQ38" s="132" t="e">
        <f t="shared" si="57"/>
        <v>#N/A</v>
      </c>
      <c r="DR38" s="58"/>
    </row>
    <row r="39" spans="1:122" ht="70">
      <c r="A39" s="50">
        <v>2017</v>
      </c>
      <c r="B39" s="51" t="s">
        <v>344</v>
      </c>
      <c r="C39" s="52">
        <f>+VLOOKUP(B39,'Indice por pilar'!$B$9:$C$20,2,FALSE)</f>
        <v>0.05</v>
      </c>
      <c r="D39" s="52" t="e">
        <f>+VLOOKUP(B39,[1]PONDERACIÓN!$B$22:$E$33,4,FALSE)</f>
        <v>#N/A</v>
      </c>
      <c r="E39" s="67" t="s">
        <v>124</v>
      </c>
      <c r="F39" s="71" t="s">
        <v>216</v>
      </c>
      <c r="G39" s="60" t="s">
        <v>217</v>
      </c>
      <c r="H39" s="60" t="s">
        <v>349</v>
      </c>
      <c r="I39" s="60">
        <v>2014</v>
      </c>
      <c r="J39" s="60" t="s">
        <v>194</v>
      </c>
      <c r="K39" s="68">
        <v>1521.8191300000001</v>
      </c>
      <c r="L39" s="68">
        <v>2358.0957600000002</v>
      </c>
      <c r="M39" s="68">
        <v>314.45645999999999</v>
      </c>
      <c r="N39" s="68">
        <v>726.01554999999996</v>
      </c>
      <c r="O39" s="68">
        <v>3201.7875800000002</v>
      </c>
      <c r="P39" s="68">
        <v>2488.8462100000002</v>
      </c>
      <c r="Q39" s="68">
        <v>659.31299999999999</v>
      </c>
      <c r="R39" s="68">
        <v>730.60203000000001</v>
      </c>
      <c r="S39" s="68">
        <v>4374.4444800000001</v>
      </c>
      <c r="T39" s="68">
        <v>473.09113000000002</v>
      </c>
      <c r="U39" s="68">
        <v>4336.4323599999998</v>
      </c>
      <c r="V39" s="68">
        <v>2879.31259</v>
      </c>
      <c r="W39" s="68">
        <v>1554.0092299999999</v>
      </c>
      <c r="X39" s="68">
        <v>913.53786000000002</v>
      </c>
      <c r="Y39" s="68">
        <v>192.70428000000001</v>
      </c>
      <c r="Z39" s="68">
        <v>1813.3477600000001</v>
      </c>
      <c r="AA39" s="68">
        <v>1495.0761199999999</v>
      </c>
      <c r="AB39" s="68">
        <v>2991.17823</v>
      </c>
      <c r="AC39" s="68">
        <v>1600.4803899999999</v>
      </c>
      <c r="AD39" s="68">
        <v>877.42361000000005</v>
      </c>
      <c r="AE39" s="68">
        <v>849.83941000000004</v>
      </c>
      <c r="AF39" s="68">
        <v>490.28944000000001</v>
      </c>
      <c r="AG39" s="68">
        <v>1049.4887799999999</v>
      </c>
      <c r="AH39" s="69">
        <v>482.81603999999999</v>
      </c>
      <c r="AI39" s="124">
        <f t="shared" si="53"/>
        <v>1598.9336429166667</v>
      </c>
      <c r="AJ39" s="124">
        <f t="shared" si="54"/>
        <v>1222.9536113737574</v>
      </c>
      <c r="AK39" s="125">
        <f t="shared" si="2"/>
        <v>0.76485576295894808</v>
      </c>
      <c r="AL39" s="125" t="str">
        <f>+HLOOKUP(AN39,$K39:$AH$68,30,FALSE)</f>
        <v>Morona Santiago</v>
      </c>
      <c r="AM39" s="142">
        <f t="shared" si="55"/>
        <v>4374.4444800000001</v>
      </c>
      <c r="AN39" s="142">
        <f t="shared" si="56"/>
        <v>192.70428000000001</v>
      </c>
      <c r="AO39" s="124">
        <f t="shared" si="5"/>
        <v>22.700297471337947</v>
      </c>
      <c r="AP39" s="142">
        <f t="shared" si="28"/>
        <v>4374.4444800000001</v>
      </c>
      <c r="AQ39" s="127">
        <f>+HLOOKUP($AQ$3,$K$3:$AH$67,37,FALSE)</f>
        <v>473.09113000000002</v>
      </c>
      <c r="AR39" s="134">
        <f t="shared" si="29"/>
        <v>31.783773893940136</v>
      </c>
      <c r="AS39" s="134">
        <f t="shared" si="30"/>
        <v>51.782066231661162</v>
      </c>
      <c r="AT39" s="134">
        <f t="shared" si="31"/>
        <v>2.9115194674217202</v>
      </c>
      <c r="AU39" s="134">
        <f t="shared" si="32"/>
        <v>12.753333408899959</v>
      </c>
      <c r="AV39" s="134">
        <f t="shared" si="33"/>
        <v>71.957681636941487</v>
      </c>
      <c r="AW39" s="134">
        <f t="shared" si="34"/>
        <v>54.90876573346187</v>
      </c>
      <c r="AX39" s="134">
        <f t="shared" si="35"/>
        <v>11.158242685664689</v>
      </c>
      <c r="AY39" s="134">
        <f t="shared" si="36"/>
        <v>12.86301214982222</v>
      </c>
      <c r="AZ39" s="134">
        <f t="shared" si="37"/>
        <v>100</v>
      </c>
      <c r="BA39" s="134">
        <f t="shared" si="38"/>
        <v>6.7050279689780821</v>
      </c>
      <c r="BB39" s="134">
        <f t="shared" si="39"/>
        <v>99.090997570819908</v>
      </c>
      <c r="BC39" s="134">
        <f t="shared" si="40"/>
        <v>64.246179377666749</v>
      </c>
      <c r="BD39" s="134">
        <f t="shared" si="41"/>
        <v>32.553551509488798</v>
      </c>
      <c r="BE39" s="134">
        <f t="shared" si="42"/>
        <v>17.237646183758617</v>
      </c>
      <c r="BF39" s="134">
        <f t="shared" si="43"/>
        <v>0</v>
      </c>
      <c r="BG39" s="134">
        <f t="shared" si="44"/>
        <v>38.755240700988551</v>
      </c>
      <c r="BH39" s="134">
        <f t="shared" si="45"/>
        <v>31.144255207437322</v>
      </c>
      <c r="BI39" s="134">
        <f t="shared" si="46"/>
        <v>66.921277175468717</v>
      </c>
      <c r="BJ39" s="134">
        <f t="shared" si="47"/>
        <v>33.664839102151781</v>
      </c>
      <c r="BK39" s="134">
        <f t="shared" si="48"/>
        <v>16.374028448730506</v>
      </c>
      <c r="BL39" s="134">
        <f t="shared" si="49"/>
        <v>15.7143939740685</v>
      </c>
      <c r="BM39" s="134">
        <f t="shared" si="50"/>
        <v>7.1162995730820384</v>
      </c>
      <c r="BN39" s="134">
        <f t="shared" si="51"/>
        <v>20.488707069846182</v>
      </c>
      <c r="BO39" s="134">
        <f t="shared" si="52"/>
        <v>6.9375845013040269</v>
      </c>
      <c r="BP39" s="129">
        <f t="shared" si="6"/>
        <v>100</v>
      </c>
      <c r="BQ39" s="129">
        <f t="shared" si="7"/>
        <v>0</v>
      </c>
      <c r="BR39" s="129">
        <f t="shared" si="8"/>
        <v>33.627850982150136</v>
      </c>
      <c r="BS39" s="129">
        <f t="shared" si="9"/>
        <v>29.24508823799615</v>
      </c>
      <c r="BT39" s="130">
        <f t="shared" si="10"/>
        <v>0.8696686640344522</v>
      </c>
      <c r="BU39" s="131" t="e">
        <f t="shared" si="58"/>
        <v>#N/A</v>
      </c>
      <c r="BV39" s="131" t="e">
        <f t="shared" si="58"/>
        <v>#N/A</v>
      </c>
      <c r="BW39" s="131" t="e">
        <f t="shared" si="58"/>
        <v>#N/A</v>
      </c>
      <c r="BX39" s="131" t="e">
        <f t="shared" si="58"/>
        <v>#N/A</v>
      </c>
      <c r="BY39" s="131" t="e">
        <f t="shared" si="58"/>
        <v>#N/A</v>
      </c>
      <c r="BZ39" s="131" t="e">
        <f t="shared" si="58"/>
        <v>#N/A</v>
      </c>
      <c r="CA39" s="131" t="e">
        <f t="shared" si="58"/>
        <v>#N/A</v>
      </c>
      <c r="CB39" s="131" t="e">
        <f t="shared" si="58"/>
        <v>#N/A</v>
      </c>
      <c r="CC39" s="131" t="e">
        <f t="shared" si="58"/>
        <v>#N/A</v>
      </c>
      <c r="CD39" s="131" t="e">
        <f t="shared" si="58"/>
        <v>#N/A</v>
      </c>
      <c r="CE39" s="131" t="e">
        <f t="shared" si="58"/>
        <v>#N/A</v>
      </c>
      <c r="CF39" s="131" t="e">
        <f t="shared" si="58"/>
        <v>#N/A</v>
      </c>
      <c r="CG39" s="131" t="e">
        <f t="shared" si="58"/>
        <v>#N/A</v>
      </c>
      <c r="CH39" s="131" t="e">
        <f t="shared" si="58"/>
        <v>#N/A</v>
      </c>
      <c r="CI39" s="131" t="e">
        <f t="shared" si="58"/>
        <v>#N/A</v>
      </c>
      <c r="CJ39" s="131" t="e">
        <f t="shared" si="24"/>
        <v>#N/A</v>
      </c>
      <c r="CK39" s="131" t="e">
        <f t="shared" si="24"/>
        <v>#N/A</v>
      </c>
      <c r="CL39" s="131" t="e">
        <f t="shared" si="24"/>
        <v>#N/A</v>
      </c>
      <c r="CM39" s="131" t="e">
        <f t="shared" si="24"/>
        <v>#N/A</v>
      </c>
      <c r="CN39" s="131" t="e">
        <f t="shared" si="26"/>
        <v>#N/A</v>
      </c>
      <c r="CO39" s="131" t="e">
        <f t="shared" si="26"/>
        <v>#N/A</v>
      </c>
      <c r="CP39" s="131" t="e">
        <f t="shared" si="26"/>
        <v>#N/A</v>
      </c>
      <c r="CQ39" s="131" t="e">
        <f t="shared" si="26"/>
        <v>#N/A</v>
      </c>
      <c r="CR39" s="131" t="e">
        <f t="shared" si="26"/>
        <v>#N/A</v>
      </c>
      <c r="CS39" s="131" t="e">
        <f t="shared" si="26"/>
        <v>#N/A</v>
      </c>
      <c r="CT39" s="132" t="e">
        <f t="shared" si="27"/>
        <v>#N/A</v>
      </c>
      <c r="CU39" s="132" t="e">
        <f t="shared" si="27"/>
        <v>#N/A</v>
      </c>
      <c r="CV39" s="132" t="e">
        <f t="shared" si="27"/>
        <v>#N/A</v>
      </c>
      <c r="CW39" s="132" t="e">
        <f t="shared" si="27"/>
        <v>#N/A</v>
      </c>
      <c r="CX39" s="132" t="e">
        <f t="shared" si="27"/>
        <v>#N/A</v>
      </c>
      <c r="CY39" s="132" t="e">
        <f t="shared" si="27"/>
        <v>#N/A</v>
      </c>
      <c r="CZ39" s="132" t="e">
        <f t="shared" si="27"/>
        <v>#N/A</v>
      </c>
      <c r="DA39" s="132" t="e">
        <f t="shared" si="27"/>
        <v>#N/A</v>
      </c>
      <c r="DB39" s="132" t="e">
        <f t="shared" si="27"/>
        <v>#N/A</v>
      </c>
      <c r="DC39" s="132" t="e">
        <f t="shared" si="27"/>
        <v>#N/A</v>
      </c>
      <c r="DD39" s="132" t="e">
        <f t="shared" si="27"/>
        <v>#N/A</v>
      </c>
      <c r="DE39" s="132" t="e">
        <f t="shared" si="27"/>
        <v>#N/A</v>
      </c>
      <c r="DF39" s="132" t="e">
        <f t="shared" si="27"/>
        <v>#N/A</v>
      </c>
      <c r="DG39" s="132" t="e">
        <f t="shared" si="27"/>
        <v>#N/A</v>
      </c>
      <c r="DH39" s="132" t="e">
        <f t="shared" si="27"/>
        <v>#N/A</v>
      </c>
      <c r="DI39" s="132" t="e">
        <f t="shared" si="27"/>
        <v>#N/A</v>
      </c>
      <c r="DJ39" s="132" t="e">
        <f t="shared" si="57"/>
        <v>#N/A</v>
      </c>
      <c r="DK39" s="132" t="e">
        <f t="shared" si="57"/>
        <v>#N/A</v>
      </c>
      <c r="DL39" s="132" t="e">
        <f t="shared" si="57"/>
        <v>#N/A</v>
      </c>
      <c r="DM39" s="132" t="e">
        <f t="shared" si="57"/>
        <v>#N/A</v>
      </c>
      <c r="DN39" s="132" t="e">
        <f t="shared" si="57"/>
        <v>#N/A</v>
      </c>
      <c r="DO39" s="132" t="e">
        <f t="shared" si="57"/>
        <v>#N/A</v>
      </c>
      <c r="DP39" s="132" t="e">
        <f t="shared" si="57"/>
        <v>#N/A</v>
      </c>
      <c r="DQ39" s="132" t="e">
        <f t="shared" si="57"/>
        <v>#N/A</v>
      </c>
      <c r="DR39" s="58"/>
    </row>
    <row r="40" spans="1:122" ht="42">
      <c r="A40" s="50">
        <v>2017</v>
      </c>
      <c r="B40" s="51" t="s">
        <v>344</v>
      </c>
      <c r="C40" s="52">
        <f>+VLOOKUP(B40,'Indice por pilar'!$B$9:$C$20,2,FALSE)</f>
        <v>0.05</v>
      </c>
      <c r="D40" s="52" t="e">
        <f>+VLOOKUP(B40,[1]PONDERACIÓN!$B$22:$E$33,4,FALSE)</f>
        <v>#N/A</v>
      </c>
      <c r="E40" s="53" t="s">
        <v>124</v>
      </c>
      <c r="F40" s="71" t="s">
        <v>350</v>
      </c>
      <c r="G40" s="60" t="s">
        <v>218</v>
      </c>
      <c r="H40" s="60" t="s">
        <v>348</v>
      </c>
      <c r="I40" s="60">
        <v>2017</v>
      </c>
      <c r="J40" s="60" t="s">
        <v>177</v>
      </c>
      <c r="K40" s="78">
        <v>196.59415000000001</v>
      </c>
      <c r="L40" s="78">
        <v>119.79895999999999</v>
      </c>
      <c r="M40" s="78">
        <v>173.1917</v>
      </c>
      <c r="N40" s="78">
        <v>91.172110000000004</v>
      </c>
      <c r="O40" s="78">
        <v>154.82543000000001</v>
      </c>
      <c r="P40" s="78">
        <v>61.094070000000002</v>
      </c>
      <c r="Q40" s="78">
        <v>56.604500000000002</v>
      </c>
      <c r="R40" s="78">
        <v>52.425420000000003</v>
      </c>
      <c r="S40" s="78">
        <v>39.802579999999999</v>
      </c>
      <c r="T40" s="78">
        <v>87.23124</v>
      </c>
      <c r="U40" s="78">
        <v>208.41494</v>
      </c>
      <c r="V40" s="78">
        <v>204.91529</v>
      </c>
      <c r="W40" s="78">
        <v>75.824269999999999</v>
      </c>
      <c r="X40" s="78">
        <v>85.415180000000007</v>
      </c>
      <c r="Y40" s="78">
        <v>47.316479653913753</v>
      </c>
      <c r="Z40" s="78">
        <v>38.573920000000001</v>
      </c>
      <c r="AA40" s="78">
        <v>29.326370000000001</v>
      </c>
      <c r="AB40" s="78">
        <v>154.88543999999999</v>
      </c>
      <c r="AC40" s="78">
        <v>161.86085</v>
      </c>
      <c r="AD40" s="78">
        <v>33.99973</v>
      </c>
      <c r="AE40" s="78">
        <v>138.72842</v>
      </c>
      <c r="AF40" s="78">
        <v>109.43792999999999</v>
      </c>
      <c r="AG40" s="78">
        <v>61.549819999999997</v>
      </c>
      <c r="AH40" s="79">
        <v>78.801559999999995</v>
      </c>
      <c r="AI40" s="124">
        <f t="shared" si="53"/>
        <v>102.57459831891309</v>
      </c>
      <c r="AJ40" s="124">
        <f t="shared" si="54"/>
        <v>57.959778283143081</v>
      </c>
      <c r="AK40" s="125">
        <f t="shared" si="2"/>
        <v>0.56505001465315252</v>
      </c>
      <c r="AL40" s="125" t="str">
        <f>+HLOOKUP(AN40,$K40:$AH$68,29,FALSE)</f>
        <v>Francisco de Orellana</v>
      </c>
      <c r="AM40" s="138">
        <f t="shared" si="55"/>
        <v>208.41494</v>
      </c>
      <c r="AN40" s="138">
        <f t="shared" si="56"/>
        <v>29.326370000000001</v>
      </c>
      <c r="AO40" s="124">
        <f t="shared" si="5"/>
        <v>7.1067418163243525</v>
      </c>
      <c r="AP40" s="138">
        <f t="shared" si="28"/>
        <v>208.41494</v>
      </c>
      <c r="AQ40" s="127">
        <f>+HLOOKUP($AQ$3,$K$3:$AH$67,38,FALSE)</f>
        <v>87.23124</v>
      </c>
      <c r="AR40" s="134">
        <f t="shared" si="29"/>
        <v>93.399472674330923</v>
      </c>
      <c r="AS40" s="134">
        <f t="shared" si="30"/>
        <v>50.518349663521235</v>
      </c>
      <c r="AT40" s="134">
        <f t="shared" si="31"/>
        <v>80.331944132447987</v>
      </c>
      <c r="AU40" s="134">
        <f t="shared" si="32"/>
        <v>34.533605355160304</v>
      </c>
      <c r="AV40" s="134">
        <f t="shared" si="33"/>
        <v>70.076532522427314</v>
      </c>
      <c r="AW40" s="134">
        <f t="shared" si="34"/>
        <v>17.738541326227576</v>
      </c>
      <c r="AX40" s="134">
        <f t="shared" si="35"/>
        <v>15.231642086371005</v>
      </c>
      <c r="AY40" s="134">
        <f t="shared" si="36"/>
        <v>12.898115161676706</v>
      </c>
      <c r="AZ40" s="134">
        <f t="shared" si="37"/>
        <v>5.8497368089990323</v>
      </c>
      <c r="BA40" s="134">
        <f t="shared" si="38"/>
        <v>32.33309082762792</v>
      </c>
      <c r="BB40" s="134">
        <f t="shared" si="39"/>
        <v>100</v>
      </c>
      <c r="BC40" s="134">
        <f t="shared" si="40"/>
        <v>98.045855187743143</v>
      </c>
      <c r="BD40" s="134">
        <f t="shared" si="41"/>
        <v>25.963633525020608</v>
      </c>
      <c r="BE40" s="134">
        <f t="shared" si="42"/>
        <v>31.31903392829593</v>
      </c>
      <c r="BF40" s="134">
        <f t="shared" si="43"/>
        <v>10.045370094760237</v>
      </c>
      <c r="BG40" s="134">
        <f t="shared" si="44"/>
        <v>5.1636740412858293</v>
      </c>
      <c r="BH40" s="134">
        <f t="shared" si="45"/>
        <v>0</v>
      </c>
      <c r="BI40" s="134">
        <f t="shared" si="46"/>
        <v>70.110041081907113</v>
      </c>
      <c r="BJ40" s="134">
        <f t="shared" si="47"/>
        <v>74.00499093828266</v>
      </c>
      <c r="BK40" s="134">
        <f t="shared" si="48"/>
        <v>2.6095244381034473</v>
      </c>
      <c r="BL40" s="134">
        <f t="shared" si="49"/>
        <v>61.088236954485708</v>
      </c>
      <c r="BM40" s="134">
        <f t="shared" si="50"/>
        <v>44.732927400112686</v>
      </c>
      <c r="BN40" s="134">
        <f t="shared" si="51"/>
        <v>17.9930243454398</v>
      </c>
      <c r="BO40" s="134">
        <f t="shared" si="52"/>
        <v>27.626101431263873</v>
      </c>
      <c r="BP40" s="129">
        <f t="shared" si="6"/>
        <v>100</v>
      </c>
      <c r="BQ40" s="129">
        <f t="shared" si="7"/>
        <v>0</v>
      </c>
      <c r="BR40" s="129">
        <f t="shared" si="8"/>
        <v>40.900560163562119</v>
      </c>
      <c r="BS40" s="129">
        <f t="shared" si="9"/>
        <v>32.36375067551387</v>
      </c>
      <c r="BT40" s="130">
        <f t="shared" si="10"/>
        <v>0.79127891026652486</v>
      </c>
      <c r="BU40" s="131" t="e">
        <f t="shared" si="58"/>
        <v>#N/A</v>
      </c>
      <c r="BV40" s="131" t="e">
        <f t="shared" si="58"/>
        <v>#N/A</v>
      </c>
      <c r="BW40" s="131" t="e">
        <f t="shared" si="58"/>
        <v>#N/A</v>
      </c>
      <c r="BX40" s="131" t="e">
        <f t="shared" si="58"/>
        <v>#N/A</v>
      </c>
      <c r="BY40" s="131" t="e">
        <f t="shared" si="58"/>
        <v>#N/A</v>
      </c>
      <c r="BZ40" s="131" t="e">
        <f t="shared" si="58"/>
        <v>#N/A</v>
      </c>
      <c r="CA40" s="131" t="e">
        <f t="shared" si="58"/>
        <v>#N/A</v>
      </c>
      <c r="CB40" s="131" t="e">
        <f t="shared" si="58"/>
        <v>#N/A</v>
      </c>
      <c r="CC40" s="131" t="e">
        <f t="shared" si="58"/>
        <v>#N/A</v>
      </c>
      <c r="CD40" s="131" t="e">
        <f t="shared" si="58"/>
        <v>#N/A</v>
      </c>
      <c r="CE40" s="131" t="e">
        <f t="shared" si="58"/>
        <v>#N/A</v>
      </c>
      <c r="CF40" s="131" t="e">
        <f t="shared" si="58"/>
        <v>#N/A</v>
      </c>
      <c r="CG40" s="131" t="e">
        <f t="shared" si="58"/>
        <v>#N/A</v>
      </c>
      <c r="CH40" s="131" t="e">
        <f t="shared" si="58"/>
        <v>#N/A</v>
      </c>
      <c r="CI40" s="131" t="e">
        <f t="shared" si="58"/>
        <v>#N/A</v>
      </c>
      <c r="CJ40" s="131" t="e">
        <f t="shared" si="24"/>
        <v>#N/A</v>
      </c>
      <c r="CK40" s="131" t="e">
        <f t="shared" si="24"/>
        <v>#N/A</v>
      </c>
      <c r="CL40" s="131" t="e">
        <f t="shared" si="24"/>
        <v>#N/A</v>
      </c>
      <c r="CM40" s="131" t="e">
        <f t="shared" si="24"/>
        <v>#N/A</v>
      </c>
      <c r="CN40" s="131" t="e">
        <f t="shared" si="26"/>
        <v>#N/A</v>
      </c>
      <c r="CO40" s="131" t="e">
        <f t="shared" si="26"/>
        <v>#N/A</v>
      </c>
      <c r="CP40" s="131" t="e">
        <f t="shared" si="26"/>
        <v>#N/A</v>
      </c>
      <c r="CQ40" s="131" t="e">
        <f t="shared" si="26"/>
        <v>#N/A</v>
      </c>
      <c r="CR40" s="131" t="e">
        <f t="shared" si="26"/>
        <v>#N/A</v>
      </c>
      <c r="CS40" s="131" t="e">
        <f t="shared" si="26"/>
        <v>#N/A</v>
      </c>
      <c r="CT40" s="132" t="e">
        <f t="shared" si="27"/>
        <v>#N/A</v>
      </c>
      <c r="CU40" s="132" t="e">
        <f t="shared" si="27"/>
        <v>#N/A</v>
      </c>
      <c r="CV40" s="132" t="e">
        <f t="shared" si="27"/>
        <v>#N/A</v>
      </c>
      <c r="CW40" s="132" t="e">
        <f t="shared" si="27"/>
        <v>#N/A</v>
      </c>
      <c r="CX40" s="132" t="e">
        <f t="shared" si="27"/>
        <v>#N/A</v>
      </c>
      <c r="CY40" s="132" t="e">
        <f t="shared" si="27"/>
        <v>#N/A</v>
      </c>
      <c r="CZ40" s="132" t="e">
        <f t="shared" si="27"/>
        <v>#N/A</v>
      </c>
      <c r="DA40" s="132" t="e">
        <f t="shared" si="27"/>
        <v>#N/A</v>
      </c>
      <c r="DB40" s="132" t="e">
        <f t="shared" si="27"/>
        <v>#N/A</v>
      </c>
      <c r="DC40" s="132" t="e">
        <f t="shared" si="27"/>
        <v>#N/A</v>
      </c>
      <c r="DD40" s="132" t="e">
        <f t="shared" si="27"/>
        <v>#N/A</v>
      </c>
      <c r="DE40" s="132" t="e">
        <f t="shared" si="27"/>
        <v>#N/A</v>
      </c>
      <c r="DF40" s="132" t="e">
        <f t="shared" si="27"/>
        <v>#N/A</v>
      </c>
      <c r="DG40" s="132" t="e">
        <f t="shared" si="27"/>
        <v>#N/A</v>
      </c>
      <c r="DH40" s="132" t="e">
        <f t="shared" si="27"/>
        <v>#N/A</v>
      </c>
      <c r="DI40" s="132" t="e">
        <f t="shared" si="27"/>
        <v>#N/A</v>
      </c>
      <c r="DJ40" s="132" t="e">
        <f t="shared" si="57"/>
        <v>#N/A</v>
      </c>
      <c r="DK40" s="132" t="e">
        <f t="shared" si="57"/>
        <v>#N/A</v>
      </c>
      <c r="DL40" s="132" t="e">
        <f t="shared" si="57"/>
        <v>#N/A</v>
      </c>
      <c r="DM40" s="132" t="e">
        <f t="shared" si="57"/>
        <v>#N/A</v>
      </c>
      <c r="DN40" s="132" t="e">
        <f t="shared" si="57"/>
        <v>#N/A</v>
      </c>
      <c r="DO40" s="132" t="e">
        <f t="shared" si="57"/>
        <v>#N/A</v>
      </c>
      <c r="DP40" s="132" t="e">
        <f t="shared" si="57"/>
        <v>#N/A</v>
      </c>
      <c r="DQ40" s="132" t="e">
        <f t="shared" si="57"/>
        <v>#N/A</v>
      </c>
      <c r="DR40" s="58"/>
    </row>
    <row r="41" spans="1:122" ht="42">
      <c r="A41" s="50">
        <v>2017</v>
      </c>
      <c r="B41" s="51" t="s">
        <v>344</v>
      </c>
      <c r="C41" s="52">
        <f>+VLOOKUP(B41,'Indice por pilar'!$B$9:$C$20,2,FALSE)</f>
        <v>0.05</v>
      </c>
      <c r="D41" s="52" t="e">
        <f>+VLOOKUP(B41,[1]PONDERACIÓN!$B$22:$E$33,4,FALSE)</f>
        <v>#N/A</v>
      </c>
      <c r="E41" s="67" t="s">
        <v>124</v>
      </c>
      <c r="F41" s="71" t="s">
        <v>219</v>
      </c>
      <c r="G41" s="60" t="s">
        <v>379</v>
      </c>
      <c r="H41" s="60" t="s">
        <v>348</v>
      </c>
      <c r="I41" s="60">
        <v>2017</v>
      </c>
      <c r="J41" s="60" t="s">
        <v>177</v>
      </c>
      <c r="K41" s="78">
        <v>15.446680000000001</v>
      </c>
      <c r="L41" s="78">
        <v>38.117849999999997</v>
      </c>
      <c r="M41" s="78">
        <v>44.40813</v>
      </c>
      <c r="N41" s="78">
        <v>30.390699999999999</v>
      </c>
      <c r="O41" s="78">
        <v>50.154719999999998</v>
      </c>
      <c r="P41" s="78">
        <v>19.5501</v>
      </c>
      <c r="Q41" s="78">
        <v>13.3187</v>
      </c>
      <c r="R41" s="78">
        <v>9.3616799999999998</v>
      </c>
      <c r="S41" s="78">
        <v>39.802579999999999</v>
      </c>
      <c r="T41" s="78">
        <v>12.892670000000001</v>
      </c>
      <c r="U41" s="78">
        <v>37.665349999999997</v>
      </c>
      <c r="V41" s="78">
        <v>33.4101</v>
      </c>
      <c r="W41" s="78">
        <v>8.9961000000000002</v>
      </c>
      <c r="X41" s="78">
        <v>8.0304900000000004</v>
      </c>
      <c r="Y41" s="78">
        <v>20.278491280248751</v>
      </c>
      <c r="Z41" s="78">
        <v>28.930440000000001</v>
      </c>
      <c r="AA41" s="78">
        <v>7.3315900000000003</v>
      </c>
      <c r="AB41" s="78">
        <v>35.742789999999999</v>
      </c>
      <c r="AC41" s="78">
        <v>32.993220000000001</v>
      </c>
      <c r="AD41" s="78">
        <v>11.33324</v>
      </c>
      <c r="AE41" s="78">
        <v>45.582189999999997</v>
      </c>
      <c r="AF41" s="78">
        <v>43.775170000000003</v>
      </c>
      <c r="AG41" s="78">
        <v>6.4789300000000001</v>
      </c>
      <c r="AH41" s="79">
        <v>21.73836</v>
      </c>
      <c r="AI41" s="124">
        <f t="shared" si="53"/>
        <v>25.655427970010361</v>
      </c>
      <c r="AJ41" s="124">
        <f t="shared" si="54"/>
        <v>14.278242768585949</v>
      </c>
      <c r="AK41" s="125">
        <f t="shared" si="2"/>
        <v>0.55653886519750706</v>
      </c>
      <c r="AL41" s="125" t="str">
        <f>+HLOOKUP(AN41,$K41:$AH$68,28,FALSE)</f>
        <v>Santa Elena</v>
      </c>
      <c r="AM41" s="138">
        <f t="shared" si="55"/>
        <v>50.154719999999998</v>
      </c>
      <c r="AN41" s="138">
        <f t="shared" si="56"/>
        <v>6.4789300000000001</v>
      </c>
      <c r="AO41" s="124">
        <f t="shared" si="5"/>
        <v>7.7412041803198983</v>
      </c>
      <c r="AP41" s="138">
        <f t="shared" si="28"/>
        <v>50.154719999999998</v>
      </c>
      <c r="AQ41" s="127">
        <f>+HLOOKUP($AQ$3,$K$3:$AH$67,39,FALSE)</f>
        <v>12.892670000000001</v>
      </c>
      <c r="AR41" s="134">
        <f t="shared" si="29"/>
        <v>20.53254217038776</v>
      </c>
      <c r="AS41" s="134">
        <f t="shared" si="30"/>
        <v>72.440406916509119</v>
      </c>
      <c r="AT41" s="134">
        <f t="shared" si="31"/>
        <v>86.842619217648959</v>
      </c>
      <c r="AU41" s="134">
        <f t="shared" si="32"/>
        <v>54.748339984233816</v>
      </c>
      <c r="AV41" s="134">
        <f t="shared" si="33"/>
        <v>100</v>
      </c>
      <c r="AW41" s="134">
        <f t="shared" si="34"/>
        <v>29.927724260969295</v>
      </c>
      <c r="AX41" s="134">
        <f t="shared" si="35"/>
        <v>15.660323488138395</v>
      </c>
      <c r="AY41" s="134">
        <f t="shared" si="36"/>
        <v>6.6003385399554304</v>
      </c>
      <c r="AZ41" s="134">
        <f t="shared" si="37"/>
        <v>76.29776129979561</v>
      </c>
      <c r="BA41" s="134">
        <f t="shared" si="38"/>
        <v>14.684886066170758</v>
      </c>
      <c r="BB41" s="134">
        <f t="shared" si="39"/>
        <v>71.404363836349603</v>
      </c>
      <c r="BC41" s="134">
        <f t="shared" si="40"/>
        <v>61.661552086407603</v>
      </c>
      <c r="BD41" s="134">
        <f t="shared" si="41"/>
        <v>5.7633073151052336</v>
      </c>
      <c r="BE41" s="134">
        <f t="shared" si="42"/>
        <v>3.5524486219940163</v>
      </c>
      <c r="BF41" s="134">
        <f t="shared" si="43"/>
        <v>31.595447455555469</v>
      </c>
      <c r="BG41" s="134">
        <f t="shared" si="44"/>
        <v>51.404931656645481</v>
      </c>
      <c r="BH41" s="134">
        <f t="shared" si="45"/>
        <v>1.9522486027156012</v>
      </c>
      <c r="BI41" s="134">
        <f t="shared" si="46"/>
        <v>67.002474368523153</v>
      </c>
      <c r="BJ41" s="134">
        <f t="shared" si="47"/>
        <v>60.707064485839879</v>
      </c>
      <c r="BK41" s="134">
        <f t="shared" si="48"/>
        <v>11.11441830817485</v>
      </c>
      <c r="BL41" s="134">
        <f t="shared" si="49"/>
        <v>89.530744607023706</v>
      </c>
      <c r="BM41" s="134">
        <f t="shared" si="50"/>
        <v>85.393395288327952</v>
      </c>
      <c r="BN41" s="134">
        <f t="shared" si="51"/>
        <v>0</v>
      </c>
      <c r="BO41" s="134">
        <f t="shared" si="52"/>
        <v>34.937959908681677</v>
      </c>
      <c r="BP41" s="129">
        <f t="shared" si="6"/>
        <v>100</v>
      </c>
      <c r="BQ41" s="129">
        <f t="shared" si="7"/>
        <v>0</v>
      </c>
      <c r="BR41" s="129">
        <f t="shared" si="8"/>
        <v>43.906470770214717</v>
      </c>
      <c r="BS41" s="129">
        <f t="shared" si="9"/>
        <v>32.69143561819017</v>
      </c>
      <c r="BT41" s="130">
        <f t="shared" si="10"/>
        <v>0.74456987876072689</v>
      </c>
      <c r="BU41" s="131" t="e">
        <f t="shared" si="58"/>
        <v>#N/A</v>
      </c>
      <c r="BV41" s="131" t="e">
        <f t="shared" si="58"/>
        <v>#N/A</v>
      </c>
      <c r="BW41" s="131" t="e">
        <f t="shared" si="58"/>
        <v>#N/A</v>
      </c>
      <c r="BX41" s="131" t="e">
        <f t="shared" si="58"/>
        <v>#N/A</v>
      </c>
      <c r="BY41" s="131" t="e">
        <f t="shared" si="58"/>
        <v>#N/A</v>
      </c>
      <c r="BZ41" s="131" t="e">
        <f t="shared" si="58"/>
        <v>#N/A</v>
      </c>
      <c r="CA41" s="131" t="e">
        <f t="shared" si="58"/>
        <v>#N/A</v>
      </c>
      <c r="CB41" s="131" t="e">
        <f t="shared" si="58"/>
        <v>#N/A</v>
      </c>
      <c r="CC41" s="131" t="e">
        <f t="shared" si="58"/>
        <v>#N/A</v>
      </c>
      <c r="CD41" s="131" t="e">
        <f t="shared" si="58"/>
        <v>#N/A</v>
      </c>
      <c r="CE41" s="131" t="e">
        <f t="shared" si="58"/>
        <v>#N/A</v>
      </c>
      <c r="CF41" s="131" t="e">
        <f t="shared" si="58"/>
        <v>#N/A</v>
      </c>
      <c r="CG41" s="131" t="e">
        <f t="shared" si="58"/>
        <v>#N/A</v>
      </c>
      <c r="CH41" s="131" t="e">
        <f t="shared" si="58"/>
        <v>#N/A</v>
      </c>
      <c r="CI41" s="131" t="e">
        <f t="shared" si="58"/>
        <v>#N/A</v>
      </c>
      <c r="CJ41" s="131" t="e">
        <f t="shared" si="24"/>
        <v>#N/A</v>
      </c>
      <c r="CK41" s="131" t="e">
        <f t="shared" si="24"/>
        <v>#N/A</v>
      </c>
      <c r="CL41" s="131" t="e">
        <f t="shared" si="24"/>
        <v>#N/A</v>
      </c>
      <c r="CM41" s="131" t="e">
        <f t="shared" si="24"/>
        <v>#N/A</v>
      </c>
      <c r="CN41" s="131" t="e">
        <f t="shared" si="26"/>
        <v>#N/A</v>
      </c>
      <c r="CO41" s="131" t="e">
        <f t="shared" si="26"/>
        <v>#N/A</v>
      </c>
      <c r="CP41" s="131" t="e">
        <f t="shared" si="26"/>
        <v>#N/A</v>
      </c>
      <c r="CQ41" s="131" t="e">
        <f t="shared" si="26"/>
        <v>#N/A</v>
      </c>
      <c r="CR41" s="131" t="e">
        <f t="shared" si="26"/>
        <v>#N/A</v>
      </c>
      <c r="CS41" s="131" t="e">
        <f t="shared" si="26"/>
        <v>#N/A</v>
      </c>
      <c r="CT41" s="132" t="e">
        <f t="shared" si="27"/>
        <v>#N/A</v>
      </c>
      <c r="CU41" s="132" t="e">
        <f t="shared" si="27"/>
        <v>#N/A</v>
      </c>
      <c r="CV41" s="132" t="e">
        <f t="shared" si="27"/>
        <v>#N/A</v>
      </c>
      <c r="CW41" s="132" t="e">
        <f t="shared" si="27"/>
        <v>#N/A</v>
      </c>
      <c r="CX41" s="132" t="e">
        <f t="shared" si="27"/>
        <v>#N/A</v>
      </c>
      <c r="CY41" s="132" t="e">
        <f t="shared" si="27"/>
        <v>#N/A</v>
      </c>
      <c r="CZ41" s="132" t="e">
        <f t="shared" si="27"/>
        <v>#N/A</v>
      </c>
      <c r="DA41" s="132" t="e">
        <f t="shared" si="27"/>
        <v>#N/A</v>
      </c>
      <c r="DB41" s="132" t="e">
        <f t="shared" si="27"/>
        <v>#N/A</v>
      </c>
      <c r="DC41" s="132" t="e">
        <f t="shared" si="27"/>
        <v>#N/A</v>
      </c>
      <c r="DD41" s="132" t="e">
        <f t="shared" si="27"/>
        <v>#N/A</v>
      </c>
      <c r="DE41" s="132" t="e">
        <f t="shared" si="27"/>
        <v>#N/A</v>
      </c>
      <c r="DF41" s="132" t="e">
        <f t="shared" si="27"/>
        <v>#N/A</v>
      </c>
      <c r="DG41" s="132" t="e">
        <f t="shared" si="27"/>
        <v>#N/A</v>
      </c>
      <c r="DH41" s="132" t="e">
        <f t="shared" si="27"/>
        <v>#N/A</v>
      </c>
      <c r="DI41" s="132" t="e">
        <f t="shared" si="27"/>
        <v>#N/A</v>
      </c>
      <c r="DJ41" s="132" t="e">
        <f t="shared" si="57"/>
        <v>#N/A</v>
      </c>
      <c r="DK41" s="132" t="e">
        <f t="shared" si="57"/>
        <v>#N/A</v>
      </c>
      <c r="DL41" s="132" t="e">
        <f t="shared" si="57"/>
        <v>#N/A</v>
      </c>
      <c r="DM41" s="132" t="e">
        <f t="shared" si="57"/>
        <v>#N/A</v>
      </c>
      <c r="DN41" s="132" t="e">
        <f t="shared" si="57"/>
        <v>#N/A</v>
      </c>
      <c r="DO41" s="132" t="e">
        <f t="shared" si="57"/>
        <v>#N/A</v>
      </c>
      <c r="DP41" s="132" t="e">
        <f t="shared" si="57"/>
        <v>#N/A</v>
      </c>
      <c r="DQ41" s="132" t="e">
        <f t="shared" si="57"/>
        <v>#N/A</v>
      </c>
      <c r="DR41" s="58"/>
    </row>
    <row r="42" spans="1:122" ht="126">
      <c r="A42" s="50">
        <v>2017</v>
      </c>
      <c r="B42" s="51" t="s">
        <v>344</v>
      </c>
      <c r="C42" s="52">
        <f>+VLOOKUP(B42,'Indice por pilar'!$B$9:$C$20,2,FALSE)</f>
        <v>0.05</v>
      </c>
      <c r="D42" s="52" t="e">
        <f>+VLOOKUP(B42,[1]PONDERACIÓN!$B$22:$E$33,4,FALSE)</f>
        <v>#N/A</v>
      </c>
      <c r="E42" s="67" t="s">
        <v>124</v>
      </c>
      <c r="F42" s="59" t="s">
        <v>220</v>
      </c>
      <c r="G42" s="60" t="s">
        <v>221</v>
      </c>
      <c r="H42" s="60" t="s">
        <v>222</v>
      </c>
      <c r="I42" s="60">
        <v>2014</v>
      </c>
      <c r="J42" s="60" t="s">
        <v>177</v>
      </c>
      <c r="K42" s="87">
        <v>1168.3309297358476</v>
      </c>
      <c r="L42" s="87">
        <v>566.32233542618474</v>
      </c>
      <c r="M42" s="87">
        <v>373.02827909620578</v>
      </c>
      <c r="N42" s="87">
        <v>583.50149522258153</v>
      </c>
      <c r="O42" s="87">
        <v>1275.6743083555577</v>
      </c>
      <c r="P42" s="87">
        <v>202.83232120819639</v>
      </c>
      <c r="Q42" s="87">
        <v>462.82499721139612</v>
      </c>
      <c r="R42" s="87">
        <v>194.72300652322073</v>
      </c>
      <c r="S42" s="87">
        <v>3423.0218118134053</v>
      </c>
      <c r="T42" s="87">
        <v>444.93418293268684</v>
      </c>
      <c r="U42" s="87">
        <v>592.60152067576666</v>
      </c>
      <c r="V42" s="87">
        <v>1764.0534027075546</v>
      </c>
      <c r="W42" s="87">
        <v>227.47280286332997</v>
      </c>
      <c r="X42" s="87">
        <v>354.07145673027787</v>
      </c>
      <c r="Y42" s="87">
        <v>412.32932269839125</v>
      </c>
      <c r="Z42" s="87">
        <v>964.34805249910801</v>
      </c>
      <c r="AA42" s="87">
        <v>505.87993782808883</v>
      </c>
      <c r="AB42" s="87">
        <v>1465.4545887791453</v>
      </c>
      <c r="AC42" s="87">
        <v>1903.1264762039323</v>
      </c>
      <c r="AD42" s="87">
        <v>259.15715613894713</v>
      </c>
      <c r="AE42" s="87">
        <v>554.32824383921218</v>
      </c>
      <c r="AF42" s="87">
        <v>373.99700802393579</v>
      </c>
      <c r="AG42" s="87">
        <v>281.4204996997521</v>
      </c>
      <c r="AH42" s="88">
        <v>1072.4916827175625</v>
      </c>
      <c r="AI42" s="124">
        <f t="shared" si="53"/>
        <v>809.41357578876205</v>
      </c>
      <c r="AJ42" s="124">
        <f t="shared" si="54"/>
        <v>745.61491577587503</v>
      </c>
      <c r="AK42" s="125">
        <f t="shared" si="2"/>
        <v>0.92117915745270751</v>
      </c>
      <c r="AL42" s="125" t="str">
        <f>+HLOOKUP(AN42,$K42:$AH$68,27,FALSE)</f>
        <v xml:space="preserve">Esmeraldas </v>
      </c>
      <c r="AM42" s="142">
        <f t="shared" si="55"/>
        <v>3423.0218118134053</v>
      </c>
      <c r="AN42" s="142">
        <f t="shared" si="56"/>
        <v>194.72300652322073</v>
      </c>
      <c r="AO42" s="124">
        <f t="shared" si="5"/>
        <v>17.578928514567743</v>
      </c>
      <c r="AP42" s="143">
        <f t="shared" si="28"/>
        <v>3423.0218118134053</v>
      </c>
      <c r="AQ42" s="127">
        <f>+HLOOKUP($AQ$3,$K$3:$AH$67,40,FALSE)</f>
        <v>444.93418293268684</v>
      </c>
      <c r="AR42" s="134">
        <f t="shared" si="29"/>
        <v>30.15854423441796</v>
      </c>
      <c r="AS42" s="134">
        <f t="shared" si="30"/>
        <v>11.510685699044569</v>
      </c>
      <c r="AT42" s="134">
        <f t="shared" si="31"/>
        <v>5.523196064775596</v>
      </c>
      <c r="AU42" s="134">
        <f t="shared" si="32"/>
        <v>12.042828503429511</v>
      </c>
      <c r="AV42" s="134">
        <f t="shared" si="33"/>
        <v>33.483619919599505</v>
      </c>
      <c r="AW42" s="134">
        <f t="shared" si="34"/>
        <v>0.25119467478310853</v>
      </c>
      <c r="AX42" s="134">
        <f t="shared" si="35"/>
        <v>8.3047452190249267</v>
      </c>
      <c r="AY42" s="134">
        <f t="shared" si="36"/>
        <v>0</v>
      </c>
      <c r="AZ42" s="134">
        <f t="shared" si="37"/>
        <v>100</v>
      </c>
      <c r="BA42" s="134">
        <f t="shared" si="38"/>
        <v>7.7505581577345719</v>
      </c>
      <c r="BB42" s="134">
        <f t="shared" si="39"/>
        <v>12.324711501319081</v>
      </c>
      <c r="BC42" s="134">
        <f t="shared" si="40"/>
        <v>48.6116834542294</v>
      </c>
      <c r="BD42" s="134">
        <f t="shared" si="41"/>
        <v>1.0144598847678674</v>
      </c>
      <c r="BE42" s="134">
        <f t="shared" si="42"/>
        <v>4.9359882655823011</v>
      </c>
      <c r="BF42" s="134">
        <f t="shared" si="43"/>
        <v>6.7405878234871253</v>
      </c>
      <c r="BG42" s="134">
        <f t="shared" si="44"/>
        <v>23.839956967883815</v>
      </c>
      <c r="BH42" s="134">
        <f t="shared" si="45"/>
        <v>9.6384179430658019</v>
      </c>
      <c r="BI42" s="134">
        <f t="shared" si="46"/>
        <v>39.362266596065645</v>
      </c>
      <c r="BJ42" s="134">
        <f t="shared" si="47"/>
        <v>52.919620292928457</v>
      </c>
      <c r="BK42" s="134">
        <f t="shared" si="48"/>
        <v>1.9959165338146123</v>
      </c>
      <c r="BL42" s="134">
        <f t="shared" si="49"/>
        <v>11.139155914771875</v>
      </c>
      <c r="BM42" s="134">
        <f t="shared" si="50"/>
        <v>5.5532034769191858</v>
      </c>
      <c r="BN42" s="134">
        <f t="shared" si="51"/>
        <v>2.6855473549865008</v>
      </c>
      <c r="BO42" s="134">
        <f t="shared" si="52"/>
        <v>27.189821300182931</v>
      </c>
      <c r="BP42" s="129">
        <f t="shared" si="6"/>
        <v>100</v>
      </c>
      <c r="BQ42" s="129">
        <f t="shared" si="7"/>
        <v>0</v>
      </c>
      <c r="BR42" s="129">
        <f t="shared" si="8"/>
        <v>19.040696240950599</v>
      </c>
      <c r="BS42" s="129">
        <f t="shared" si="9"/>
        <v>23.096217566789129</v>
      </c>
      <c r="BT42" s="130">
        <f t="shared" si="10"/>
        <v>1.2129922810866742</v>
      </c>
      <c r="BU42" s="131" t="e">
        <f t="shared" si="58"/>
        <v>#N/A</v>
      </c>
      <c r="BV42" s="131" t="e">
        <f t="shared" si="58"/>
        <v>#N/A</v>
      </c>
      <c r="BW42" s="131" t="e">
        <f t="shared" si="58"/>
        <v>#N/A</v>
      </c>
      <c r="BX42" s="131" t="e">
        <f t="shared" si="58"/>
        <v>#N/A</v>
      </c>
      <c r="BY42" s="131" t="e">
        <f t="shared" si="58"/>
        <v>#N/A</v>
      </c>
      <c r="BZ42" s="131" t="e">
        <f t="shared" si="58"/>
        <v>#N/A</v>
      </c>
      <c r="CA42" s="131" t="e">
        <f t="shared" si="58"/>
        <v>#N/A</v>
      </c>
      <c r="CB42" s="131" t="e">
        <f t="shared" si="58"/>
        <v>#N/A</v>
      </c>
      <c r="CC42" s="131" t="e">
        <f t="shared" si="58"/>
        <v>#N/A</v>
      </c>
      <c r="CD42" s="131" t="e">
        <f t="shared" si="58"/>
        <v>#N/A</v>
      </c>
      <c r="CE42" s="131" t="e">
        <f t="shared" si="58"/>
        <v>#N/A</v>
      </c>
      <c r="CF42" s="131" t="e">
        <f t="shared" si="58"/>
        <v>#N/A</v>
      </c>
      <c r="CG42" s="131" t="e">
        <f t="shared" si="58"/>
        <v>#N/A</v>
      </c>
      <c r="CH42" s="131" t="e">
        <f t="shared" si="58"/>
        <v>#N/A</v>
      </c>
      <c r="CI42" s="131" t="e">
        <f t="shared" si="58"/>
        <v>#N/A</v>
      </c>
      <c r="CJ42" s="131" t="e">
        <f t="shared" si="24"/>
        <v>#N/A</v>
      </c>
      <c r="CK42" s="131" t="e">
        <f t="shared" si="24"/>
        <v>#N/A</v>
      </c>
      <c r="CL42" s="131" t="e">
        <f t="shared" si="24"/>
        <v>#N/A</v>
      </c>
      <c r="CM42" s="131" t="e">
        <f t="shared" si="24"/>
        <v>#N/A</v>
      </c>
      <c r="CN42" s="131" t="e">
        <f t="shared" si="26"/>
        <v>#N/A</v>
      </c>
      <c r="CO42" s="131" t="e">
        <f t="shared" si="26"/>
        <v>#N/A</v>
      </c>
      <c r="CP42" s="131" t="e">
        <f t="shared" si="26"/>
        <v>#N/A</v>
      </c>
      <c r="CQ42" s="131" t="e">
        <f t="shared" si="26"/>
        <v>#N/A</v>
      </c>
      <c r="CR42" s="131" t="e">
        <f t="shared" si="26"/>
        <v>#N/A</v>
      </c>
      <c r="CS42" s="131" t="e">
        <f t="shared" si="26"/>
        <v>#N/A</v>
      </c>
      <c r="CT42" s="132" t="e">
        <f t="shared" si="27"/>
        <v>#N/A</v>
      </c>
      <c r="CU42" s="132" t="e">
        <f t="shared" si="27"/>
        <v>#N/A</v>
      </c>
      <c r="CV42" s="132" t="e">
        <f t="shared" si="27"/>
        <v>#N/A</v>
      </c>
      <c r="CW42" s="132" t="e">
        <f t="shared" si="27"/>
        <v>#N/A</v>
      </c>
      <c r="CX42" s="132" t="e">
        <f t="shared" si="27"/>
        <v>#N/A</v>
      </c>
      <c r="CY42" s="132" t="e">
        <f t="shared" si="27"/>
        <v>#N/A</v>
      </c>
      <c r="CZ42" s="132" t="e">
        <f t="shared" si="27"/>
        <v>#N/A</v>
      </c>
      <c r="DA42" s="132" t="e">
        <f t="shared" si="27"/>
        <v>#N/A</v>
      </c>
      <c r="DB42" s="132" t="e">
        <f t="shared" si="27"/>
        <v>#N/A</v>
      </c>
      <c r="DC42" s="132" t="e">
        <f t="shared" si="27"/>
        <v>#N/A</v>
      </c>
      <c r="DD42" s="132" t="e">
        <f t="shared" si="27"/>
        <v>#N/A</v>
      </c>
      <c r="DE42" s="132" t="e">
        <f t="shared" si="27"/>
        <v>#N/A</v>
      </c>
      <c r="DF42" s="132" t="e">
        <f t="shared" si="27"/>
        <v>#N/A</v>
      </c>
      <c r="DG42" s="132" t="e">
        <f t="shared" si="27"/>
        <v>#N/A</v>
      </c>
      <c r="DH42" s="132" t="e">
        <f t="shared" si="27"/>
        <v>#N/A</v>
      </c>
      <c r="DI42" s="132" t="e">
        <f t="shared" si="27"/>
        <v>#N/A</v>
      </c>
      <c r="DJ42" s="132" t="e">
        <f t="shared" si="57"/>
        <v>#N/A</v>
      </c>
      <c r="DK42" s="132" t="e">
        <f t="shared" si="57"/>
        <v>#N/A</v>
      </c>
      <c r="DL42" s="132" t="e">
        <f t="shared" si="57"/>
        <v>#N/A</v>
      </c>
      <c r="DM42" s="132" t="e">
        <f t="shared" si="57"/>
        <v>#N/A</v>
      </c>
      <c r="DN42" s="132" t="e">
        <f t="shared" si="57"/>
        <v>#N/A</v>
      </c>
      <c r="DO42" s="132" t="e">
        <f t="shared" si="57"/>
        <v>#N/A</v>
      </c>
      <c r="DP42" s="132" t="e">
        <f t="shared" si="57"/>
        <v>#N/A</v>
      </c>
      <c r="DQ42" s="132" t="e">
        <f t="shared" si="57"/>
        <v>#N/A</v>
      </c>
      <c r="DR42" s="58"/>
    </row>
    <row r="43" spans="1:122" ht="98">
      <c r="A43" s="50">
        <v>2017</v>
      </c>
      <c r="B43" s="51" t="s">
        <v>223</v>
      </c>
      <c r="C43" s="52">
        <f>+VLOOKUP(B43,'Indice por pilar'!$B$9:$C$20,2,FALSE)</f>
        <v>0.1</v>
      </c>
      <c r="D43" s="52">
        <f>+VLOOKUP(B43,[1]PONDERACIÓN!$B$22:$E$33,4,FALSE)</f>
        <v>0.25</v>
      </c>
      <c r="E43" s="67" t="s">
        <v>124</v>
      </c>
      <c r="F43" s="71" t="s">
        <v>224</v>
      </c>
      <c r="G43" s="60" t="s">
        <v>225</v>
      </c>
      <c r="H43" s="60" t="s">
        <v>357</v>
      </c>
      <c r="I43" s="60">
        <v>2016</v>
      </c>
      <c r="J43" s="60" t="s">
        <v>131</v>
      </c>
      <c r="K43" s="64">
        <v>1.2999999999999999E-2</v>
      </c>
      <c r="L43" s="64">
        <v>8.9999999999999993E-3</v>
      </c>
      <c r="M43" s="64">
        <v>7.6E-3</v>
      </c>
      <c r="N43" s="64">
        <v>2.76E-2</v>
      </c>
      <c r="O43" s="64">
        <v>8.2000000000000007E-3</v>
      </c>
      <c r="P43" s="64">
        <v>6.7000000000000004E-2</v>
      </c>
      <c r="Q43" s="64">
        <v>2.24E-2</v>
      </c>
      <c r="R43" s="64">
        <v>1.2E-2</v>
      </c>
      <c r="S43" s="64">
        <v>2.6100000000000002E-2</v>
      </c>
      <c r="T43" s="64">
        <v>1.6500000000000001E-2</v>
      </c>
      <c r="U43" s="64">
        <v>4.4999999999999998E-2</v>
      </c>
      <c r="V43" s="64">
        <v>1.6999999999999999E-3</v>
      </c>
      <c r="W43" s="64">
        <v>2.86E-2</v>
      </c>
      <c r="X43" s="64">
        <v>1.72E-2</v>
      </c>
      <c r="Y43" s="64">
        <v>4.3E-3</v>
      </c>
      <c r="Z43" s="64">
        <v>1.1299999999999999E-2</v>
      </c>
      <c r="AA43" s="64">
        <v>2.8E-3</v>
      </c>
      <c r="AB43" s="64">
        <v>5.1999999999999998E-3</v>
      </c>
      <c r="AC43" s="64">
        <v>2.81E-2</v>
      </c>
      <c r="AD43" s="64">
        <v>1.6999999999999999E-3</v>
      </c>
      <c r="AE43" s="64">
        <v>1.5599999999999999E-2</v>
      </c>
      <c r="AF43" s="64">
        <v>1.6999999999999999E-3</v>
      </c>
      <c r="AG43" s="64">
        <v>1.7500000000000002E-2</v>
      </c>
      <c r="AH43" s="65">
        <v>2.4E-2</v>
      </c>
      <c r="AI43" s="124">
        <f t="shared" si="53"/>
        <v>1.7254166666666668E-2</v>
      </c>
      <c r="AJ43" s="124">
        <f t="shared" si="54"/>
        <v>1.5214094699857494E-2</v>
      </c>
      <c r="AK43" s="125">
        <f t="shared" si="2"/>
        <v>0.88176351798256425</v>
      </c>
      <c r="AL43" s="125" t="str">
        <f>+HLOOKUP(AN43,$K43:$AH$68,26,FALSE)</f>
        <v>Loja</v>
      </c>
      <c r="AM43" s="135">
        <f t="shared" si="55"/>
        <v>6.7000000000000004E-2</v>
      </c>
      <c r="AN43" s="135">
        <f t="shared" si="56"/>
        <v>1.6999999999999999E-3</v>
      </c>
      <c r="AO43" s="124">
        <f t="shared" si="5"/>
        <v>39.411764705882355</v>
      </c>
      <c r="AP43" s="135">
        <f t="shared" si="28"/>
        <v>6.7000000000000004E-2</v>
      </c>
      <c r="AQ43" s="139">
        <f>+HLOOKUP($AQ$3,$K$3:$AH$67,41,FALSE)</f>
        <v>1.6500000000000001E-2</v>
      </c>
      <c r="AR43" s="134">
        <f t="shared" si="29"/>
        <v>17.304747320061249</v>
      </c>
      <c r="AS43" s="134">
        <f t="shared" si="30"/>
        <v>11.179173047473197</v>
      </c>
      <c r="AT43" s="134">
        <f t="shared" si="31"/>
        <v>9.0352220520673789</v>
      </c>
      <c r="AU43" s="134">
        <f t="shared" si="32"/>
        <v>39.663093415007651</v>
      </c>
      <c r="AV43" s="134">
        <f t="shared" si="33"/>
        <v>9.9540581929555891</v>
      </c>
      <c r="AW43" s="134">
        <f t="shared" si="34"/>
        <v>100</v>
      </c>
      <c r="AX43" s="134">
        <f t="shared" si="35"/>
        <v>31.699846860643177</v>
      </c>
      <c r="AY43" s="134">
        <f t="shared" si="36"/>
        <v>15.773353751914239</v>
      </c>
      <c r="AZ43" s="134">
        <f t="shared" si="37"/>
        <v>37.366003062787136</v>
      </c>
      <c r="BA43" s="134">
        <f t="shared" si="38"/>
        <v>22.664624808575802</v>
      </c>
      <c r="BB43" s="134">
        <f t="shared" si="39"/>
        <v>66.309341500765683</v>
      </c>
      <c r="BC43" s="134">
        <f t="shared" si="40"/>
        <v>0</v>
      </c>
      <c r="BD43" s="134">
        <f t="shared" si="41"/>
        <v>41.194486983154668</v>
      </c>
      <c r="BE43" s="134">
        <f t="shared" si="42"/>
        <v>23.73660030627871</v>
      </c>
      <c r="BF43" s="134">
        <f t="shared" si="43"/>
        <v>3.9816232771822349</v>
      </c>
      <c r="BG43" s="134">
        <f t="shared" si="44"/>
        <v>14.701378254211328</v>
      </c>
      <c r="BH43" s="134">
        <f t="shared" si="45"/>
        <v>1.6845329249617149</v>
      </c>
      <c r="BI43" s="134">
        <f t="shared" si="46"/>
        <v>5.3598774885145462</v>
      </c>
      <c r="BJ43" s="134">
        <f t="shared" si="47"/>
        <v>40.428790199081156</v>
      </c>
      <c r="BK43" s="134">
        <f t="shared" si="48"/>
        <v>0</v>
      </c>
      <c r="BL43" s="134">
        <f t="shared" si="49"/>
        <v>21.286370597243486</v>
      </c>
      <c r="BM43" s="134">
        <f t="shared" si="50"/>
        <v>0</v>
      </c>
      <c r="BN43" s="134">
        <f t="shared" si="51"/>
        <v>24.196018376722815</v>
      </c>
      <c r="BO43" s="134">
        <f t="shared" si="52"/>
        <v>34.150076569678397</v>
      </c>
      <c r="BP43" s="129">
        <f t="shared" si="6"/>
        <v>100</v>
      </c>
      <c r="BQ43" s="129">
        <f t="shared" si="7"/>
        <v>0</v>
      </c>
      <c r="BR43" s="129">
        <f t="shared" si="8"/>
        <v>23.819550791220006</v>
      </c>
      <c r="BS43" s="129">
        <f t="shared" si="9"/>
        <v>23.298766768541341</v>
      </c>
      <c r="BT43" s="130">
        <f t="shared" si="10"/>
        <v>0.97813627858714158</v>
      </c>
      <c r="BU43" s="131">
        <f t="shared" si="58"/>
        <v>0.43261868300153128</v>
      </c>
      <c r="BV43" s="131">
        <f t="shared" si="58"/>
        <v>0.27947932618682997</v>
      </c>
      <c r="BW43" s="131">
        <f t="shared" si="58"/>
        <v>0.2258805513016845</v>
      </c>
      <c r="BX43" s="131">
        <f t="shared" si="58"/>
        <v>0.99157733537519133</v>
      </c>
      <c r="BY43" s="131">
        <f t="shared" si="58"/>
        <v>0.24885145482388973</v>
      </c>
      <c r="BZ43" s="131">
        <f t="shared" si="58"/>
        <v>2.5</v>
      </c>
      <c r="CA43" s="131">
        <f t="shared" si="58"/>
        <v>0.79249617151607943</v>
      </c>
      <c r="CB43" s="131">
        <f t="shared" si="58"/>
        <v>0.39433384379785602</v>
      </c>
      <c r="CC43" s="131">
        <f t="shared" si="58"/>
        <v>0.93415007656967841</v>
      </c>
      <c r="CD43" s="131">
        <f t="shared" si="58"/>
        <v>0.56661562021439504</v>
      </c>
      <c r="CE43" s="131">
        <f t="shared" si="58"/>
        <v>1.6577335375191422</v>
      </c>
      <c r="CF43" s="131">
        <f t="shared" si="58"/>
        <v>0</v>
      </c>
      <c r="CG43" s="131">
        <f t="shared" si="58"/>
        <v>1.0298621745788668</v>
      </c>
      <c r="CH43" s="131">
        <f t="shared" si="58"/>
        <v>0.59341500765696775</v>
      </c>
      <c r="CI43" s="131">
        <f t="shared" si="58"/>
        <v>9.954058192955588E-2</v>
      </c>
      <c r="CJ43" s="131">
        <f t="shared" si="24"/>
        <v>0.3675344563552832</v>
      </c>
      <c r="CK43" s="131">
        <f t="shared" si="24"/>
        <v>4.2113323124042874E-2</v>
      </c>
      <c r="CL43" s="131">
        <f t="shared" si="24"/>
        <v>0.13399693721286365</v>
      </c>
      <c r="CM43" s="131">
        <f t="shared" si="24"/>
        <v>1.010719754977029</v>
      </c>
      <c r="CN43" s="131">
        <f t="shared" si="26"/>
        <v>0</v>
      </c>
      <c r="CO43" s="131">
        <f t="shared" si="26"/>
        <v>0.53215926493108723</v>
      </c>
      <c r="CP43" s="131">
        <f t="shared" si="26"/>
        <v>0</v>
      </c>
      <c r="CQ43" s="131">
        <f t="shared" si="26"/>
        <v>0.60490045941807047</v>
      </c>
      <c r="CR43" s="131">
        <f t="shared" si="26"/>
        <v>0.85375191424195995</v>
      </c>
      <c r="CS43" s="131">
        <f t="shared" si="26"/>
        <v>2.5</v>
      </c>
      <c r="CT43" s="132">
        <f t="shared" si="27"/>
        <v>4.3261868300153123</v>
      </c>
      <c r="CU43" s="132">
        <f t="shared" si="27"/>
        <v>2.7947932618682993</v>
      </c>
      <c r="CV43" s="132">
        <f t="shared" si="27"/>
        <v>2.2588055130168447</v>
      </c>
      <c r="CW43" s="132">
        <f t="shared" si="27"/>
        <v>9.9157733537519128</v>
      </c>
      <c r="CX43" s="132">
        <f t="shared" si="27"/>
        <v>2.4885145482388973</v>
      </c>
      <c r="CY43" s="132">
        <f t="shared" si="27"/>
        <v>25</v>
      </c>
      <c r="CZ43" s="132">
        <f t="shared" si="27"/>
        <v>7.9249617151607943</v>
      </c>
      <c r="DA43" s="132">
        <f t="shared" si="27"/>
        <v>3.9433384379785599</v>
      </c>
      <c r="DB43" s="132">
        <f t="shared" si="27"/>
        <v>9.3415007656967841</v>
      </c>
      <c r="DC43" s="132">
        <f t="shared" si="27"/>
        <v>5.6661562021439504</v>
      </c>
      <c r="DD43" s="132">
        <f t="shared" si="27"/>
        <v>16.577335375191421</v>
      </c>
      <c r="DE43" s="132">
        <f t="shared" si="27"/>
        <v>0</v>
      </c>
      <c r="DF43" s="132">
        <f t="shared" si="27"/>
        <v>10.298621745788667</v>
      </c>
      <c r="DG43" s="132">
        <f t="shared" si="27"/>
        <v>5.9341500765696775</v>
      </c>
      <c r="DH43" s="132">
        <f t="shared" si="27"/>
        <v>0.99540581929555871</v>
      </c>
      <c r="DI43" s="132">
        <f t="shared" si="27"/>
        <v>3.6753445635528319</v>
      </c>
      <c r="DJ43" s="132">
        <f t="shared" si="57"/>
        <v>0.42113323124042873</v>
      </c>
      <c r="DK43" s="132">
        <f t="shared" si="57"/>
        <v>1.3399693721286365</v>
      </c>
      <c r="DL43" s="132">
        <f t="shared" si="57"/>
        <v>10.107197549770289</v>
      </c>
      <c r="DM43" s="132">
        <f t="shared" si="57"/>
        <v>0</v>
      </c>
      <c r="DN43" s="132">
        <f t="shared" si="57"/>
        <v>5.3215926493108716</v>
      </c>
      <c r="DO43" s="132">
        <f t="shared" si="57"/>
        <v>0</v>
      </c>
      <c r="DP43" s="132">
        <f t="shared" si="57"/>
        <v>6.0490045941807038</v>
      </c>
      <c r="DQ43" s="132">
        <f t="shared" si="57"/>
        <v>8.5375191424195993</v>
      </c>
      <c r="DR43" s="58"/>
    </row>
    <row r="44" spans="1:122" ht="225">
      <c r="A44" s="50">
        <v>2017</v>
      </c>
      <c r="B44" s="51" t="s">
        <v>223</v>
      </c>
      <c r="C44" s="52">
        <f>+VLOOKUP(B44,'Indice por pilar'!$B$9:$C$20,2,FALSE)</f>
        <v>0.1</v>
      </c>
      <c r="D44" s="52">
        <f>+VLOOKUP(B44,[1]PONDERACIÓN!$B$22:$E$33,4,FALSE)</f>
        <v>0.25</v>
      </c>
      <c r="E44" s="67" t="s">
        <v>124</v>
      </c>
      <c r="F44" s="59" t="s">
        <v>226</v>
      </c>
      <c r="G44" s="60" t="s">
        <v>227</v>
      </c>
      <c r="H44" s="89" t="s">
        <v>365</v>
      </c>
      <c r="I44" s="60">
        <v>2016</v>
      </c>
      <c r="J44" s="60" t="s">
        <v>131</v>
      </c>
      <c r="K44" s="90">
        <v>1.67E-2</v>
      </c>
      <c r="L44" s="90">
        <v>1E-4</v>
      </c>
      <c r="M44" s="90">
        <v>1.2999999999999999E-3</v>
      </c>
      <c r="N44" s="90">
        <v>5.0000000000000001E-4</v>
      </c>
      <c r="O44" s="90">
        <v>1E-4</v>
      </c>
      <c r="P44" s="90">
        <v>6.4999999999999997E-3</v>
      </c>
      <c r="Q44" s="90">
        <v>6.0400000000000002E-2</v>
      </c>
      <c r="R44" s="90">
        <v>3.8E-3</v>
      </c>
      <c r="S44" s="90">
        <v>3.8999999999999998E-3</v>
      </c>
      <c r="T44" s="90">
        <v>0.39389999999999997</v>
      </c>
      <c r="U44" s="90">
        <v>2.3999999999999998E-3</v>
      </c>
      <c r="V44" s="90">
        <v>1E-4</v>
      </c>
      <c r="W44" s="90">
        <v>1.23E-2</v>
      </c>
      <c r="X44" s="90">
        <v>6.6799999999999998E-2</v>
      </c>
      <c r="Y44" s="90">
        <v>3.1379999717266923E-6</v>
      </c>
      <c r="Z44" s="90">
        <v>1E-4</v>
      </c>
      <c r="AA44" s="90">
        <v>8.2797076171284988E-6</v>
      </c>
      <c r="AB44" s="90">
        <v>9.3061942988930169E-6</v>
      </c>
      <c r="AC44" s="90">
        <v>0.41460000000000002</v>
      </c>
      <c r="AD44" s="91">
        <v>3.1379999717266923E-6</v>
      </c>
      <c r="AE44" s="90">
        <v>3.0999999999999999E-3</v>
      </c>
      <c r="AF44" s="90">
        <v>1E-4</v>
      </c>
      <c r="AG44" s="90">
        <v>2E-3</v>
      </c>
      <c r="AH44" s="90">
        <v>1.12E-2</v>
      </c>
      <c r="AI44" s="124">
        <f t="shared" si="53"/>
        <v>4.1663494245910808E-2</v>
      </c>
      <c r="AJ44" s="124">
        <f t="shared" si="54"/>
        <v>0.11308890848396112</v>
      </c>
      <c r="AK44" s="125">
        <f t="shared" si="2"/>
        <v>2.7143404683360322</v>
      </c>
      <c r="AL44" s="125" t="str">
        <f>+HLOOKUP(AN44,$K44:$AH$68,25,FALSE)</f>
        <v>Morona Santiago</v>
      </c>
      <c r="AM44" s="135">
        <f t="shared" si="55"/>
        <v>0.41460000000000002</v>
      </c>
      <c r="AN44" s="135">
        <f t="shared" si="56"/>
        <v>3.1379999717266923E-6</v>
      </c>
      <c r="AO44" s="124">
        <f t="shared" si="5"/>
        <v>132122.37212732201</v>
      </c>
      <c r="AP44" s="135">
        <f t="shared" si="28"/>
        <v>0.41460000000000002</v>
      </c>
      <c r="AQ44" s="139">
        <f>+HLOOKUP($AQ$3,$K$3:$AH$67,42,FALSE)</f>
        <v>0.39389999999999997</v>
      </c>
      <c r="AR44" s="134">
        <f t="shared" si="29"/>
        <v>4.0272523818636943</v>
      </c>
      <c r="AS44" s="134">
        <f t="shared" si="30"/>
        <v>2.3362936120888127E-2</v>
      </c>
      <c r="AT44" s="134">
        <f t="shared" si="31"/>
        <v>0.31280072737940418</v>
      </c>
      <c r="AU44" s="134">
        <f t="shared" si="32"/>
        <v>0.11984219987372684</v>
      </c>
      <c r="AV44" s="134">
        <f t="shared" si="33"/>
        <v>2.3362936120888127E-2</v>
      </c>
      <c r="AW44" s="134">
        <f t="shared" si="34"/>
        <v>1.5670311561663073</v>
      </c>
      <c r="AX44" s="134">
        <f t="shared" si="35"/>
        <v>14.567611946861323</v>
      </c>
      <c r="AY44" s="134">
        <f t="shared" si="36"/>
        <v>0.91579612583464598</v>
      </c>
      <c r="AZ44" s="134">
        <f t="shared" si="37"/>
        <v>0.93991594177285576</v>
      </c>
      <c r="BA44" s="134">
        <f t="shared" si="38"/>
        <v>95.007198100790575</v>
      </c>
      <c r="BB44" s="134">
        <f t="shared" si="39"/>
        <v>0.57811870269971055</v>
      </c>
      <c r="BC44" s="134">
        <f t="shared" si="40"/>
        <v>2.3362936120888127E-2</v>
      </c>
      <c r="BD44" s="134">
        <f t="shared" si="41"/>
        <v>2.9659804805824681</v>
      </c>
      <c r="BE44" s="134">
        <f t="shared" si="42"/>
        <v>16.111280166906738</v>
      </c>
      <c r="BF44" s="134">
        <f t="shared" si="43"/>
        <v>0</v>
      </c>
      <c r="BG44" s="134">
        <f t="shared" si="44"/>
        <v>2.3362936120888127E-2</v>
      </c>
      <c r="BH44" s="134">
        <f t="shared" si="45"/>
        <v>1.2401704201517704E-3</v>
      </c>
      <c r="BI44" s="134">
        <f t="shared" si="46"/>
        <v>1.4877571184236081E-3</v>
      </c>
      <c r="BJ44" s="134">
        <f t="shared" si="47"/>
        <v>100</v>
      </c>
      <c r="BK44" s="134">
        <f t="shared" si="48"/>
        <v>0</v>
      </c>
      <c r="BL44" s="134">
        <f t="shared" si="49"/>
        <v>0.74695741426717832</v>
      </c>
      <c r="BM44" s="134">
        <f t="shared" si="50"/>
        <v>2.3362936120888127E-2</v>
      </c>
      <c r="BN44" s="134">
        <f t="shared" si="51"/>
        <v>0.48163943894687195</v>
      </c>
      <c r="BO44" s="134">
        <f t="shared" si="52"/>
        <v>2.7006625052621618</v>
      </c>
      <c r="BP44" s="129">
        <f t="shared" si="6"/>
        <v>100</v>
      </c>
      <c r="BQ44" s="129">
        <f t="shared" si="7"/>
        <v>0</v>
      </c>
      <c r="BR44" s="129">
        <f t="shared" si="8"/>
        <v>10.048401245722944</v>
      </c>
      <c r="BS44" s="129">
        <f t="shared" si="9"/>
        <v>27.276836572861804</v>
      </c>
      <c r="BT44" s="130">
        <f t="shared" si="10"/>
        <v>2.7145449217080242</v>
      </c>
      <c r="BU44" s="131">
        <f t="shared" si="58"/>
        <v>0.10068130954659237</v>
      </c>
      <c r="BV44" s="131">
        <f t="shared" si="58"/>
        <v>5.8407340302220323E-4</v>
      </c>
      <c r="BW44" s="131">
        <f t="shared" si="58"/>
        <v>7.820018184485104E-3</v>
      </c>
      <c r="BX44" s="131">
        <f t="shared" si="58"/>
        <v>2.9960549968431711E-3</v>
      </c>
      <c r="BY44" s="131">
        <f t="shared" si="58"/>
        <v>5.8407340302220323E-4</v>
      </c>
      <c r="BZ44" s="131">
        <f t="shared" si="58"/>
        <v>3.9175778904157688E-2</v>
      </c>
      <c r="CA44" s="131">
        <f t="shared" si="58"/>
        <v>0.36419029867153307</v>
      </c>
      <c r="CB44" s="131">
        <f t="shared" si="58"/>
        <v>2.289490314586615E-2</v>
      </c>
      <c r="CC44" s="131">
        <f t="shared" si="58"/>
        <v>2.3497898544321397E-2</v>
      </c>
      <c r="CD44" s="131">
        <f t="shared" si="58"/>
        <v>2.3751799525197645</v>
      </c>
      <c r="CE44" s="131">
        <f t="shared" si="58"/>
        <v>1.4452967567492765E-2</v>
      </c>
      <c r="CF44" s="131">
        <f t="shared" si="58"/>
        <v>5.8407340302220323E-4</v>
      </c>
      <c r="CG44" s="131">
        <f t="shared" si="58"/>
        <v>7.41495120145617E-2</v>
      </c>
      <c r="CH44" s="131">
        <f t="shared" si="58"/>
        <v>0.40278200417266846</v>
      </c>
      <c r="CI44" s="131">
        <f t="shared" si="58"/>
        <v>0</v>
      </c>
      <c r="CJ44" s="131">
        <f t="shared" si="24"/>
        <v>5.8407340302220323E-4</v>
      </c>
      <c r="CK44" s="131">
        <f t="shared" si="24"/>
        <v>3.100426050379426E-5</v>
      </c>
      <c r="CL44" s="131">
        <f t="shared" si="24"/>
        <v>3.7193927960590206E-5</v>
      </c>
      <c r="CM44" s="131">
        <f t="shared" si="24"/>
        <v>2.5</v>
      </c>
      <c r="CN44" s="131">
        <f t="shared" si="26"/>
        <v>0</v>
      </c>
      <c r="CO44" s="131">
        <f t="shared" si="26"/>
        <v>1.8673935356679459E-2</v>
      </c>
      <c r="CP44" s="131">
        <f t="shared" si="26"/>
        <v>5.8407340302220323E-4</v>
      </c>
      <c r="CQ44" s="131">
        <f t="shared" si="26"/>
        <v>1.20409859736718E-2</v>
      </c>
      <c r="CR44" s="131">
        <f t="shared" si="26"/>
        <v>6.7516562631554047E-2</v>
      </c>
      <c r="CS44" s="131">
        <f t="shared" si="26"/>
        <v>2.5</v>
      </c>
      <c r="CT44" s="132">
        <f t="shared" si="27"/>
        <v>1.0068130954659236</v>
      </c>
      <c r="CU44" s="132">
        <f t="shared" si="27"/>
        <v>5.8407340302220317E-3</v>
      </c>
      <c r="CV44" s="132">
        <f t="shared" si="27"/>
        <v>7.8200181844851044E-2</v>
      </c>
      <c r="CW44" s="132">
        <f t="shared" si="27"/>
        <v>2.9960549968431709E-2</v>
      </c>
      <c r="CX44" s="132">
        <f t="shared" si="27"/>
        <v>5.8407340302220317E-3</v>
      </c>
      <c r="CY44" s="132">
        <f t="shared" si="27"/>
        <v>0.39175778904157682</v>
      </c>
      <c r="CZ44" s="132">
        <f t="shared" si="27"/>
        <v>3.6419029867153307</v>
      </c>
      <c r="DA44" s="132">
        <f t="shared" si="27"/>
        <v>0.22894903145866149</v>
      </c>
      <c r="DB44" s="132">
        <f t="shared" si="27"/>
        <v>0.23497898544321394</v>
      </c>
      <c r="DC44" s="132">
        <f t="shared" si="27"/>
        <v>23.751799525197644</v>
      </c>
      <c r="DD44" s="132">
        <f t="shared" si="27"/>
        <v>0.14452967567492764</v>
      </c>
      <c r="DE44" s="132">
        <f t="shared" si="27"/>
        <v>5.8407340302220317E-3</v>
      </c>
      <c r="DF44" s="132">
        <f t="shared" si="27"/>
        <v>0.74149512014561703</v>
      </c>
      <c r="DG44" s="132">
        <f t="shared" si="27"/>
        <v>4.0278200417266845</v>
      </c>
      <c r="DH44" s="132">
        <f t="shared" si="27"/>
        <v>0</v>
      </c>
      <c r="DI44" s="132">
        <f t="shared" si="27"/>
        <v>5.8407340302220317E-3</v>
      </c>
      <c r="DJ44" s="132">
        <f t="shared" si="57"/>
        <v>3.1004260503794261E-4</v>
      </c>
      <c r="DK44" s="132">
        <f t="shared" si="57"/>
        <v>3.7193927960590202E-4</v>
      </c>
      <c r="DL44" s="132">
        <f t="shared" si="57"/>
        <v>25</v>
      </c>
      <c r="DM44" s="132">
        <f t="shared" si="57"/>
        <v>0</v>
      </c>
      <c r="DN44" s="132">
        <f t="shared" si="57"/>
        <v>0.18673935356679458</v>
      </c>
      <c r="DO44" s="132">
        <f t="shared" si="57"/>
        <v>5.8407340302220317E-3</v>
      </c>
      <c r="DP44" s="132">
        <f t="shared" si="57"/>
        <v>0.12040985973671799</v>
      </c>
      <c r="DQ44" s="132">
        <f t="shared" si="57"/>
        <v>0.67516562631554045</v>
      </c>
      <c r="DR44" s="58"/>
    </row>
    <row r="45" spans="1:122" ht="100" thickBot="1">
      <c r="A45" s="50">
        <v>2017</v>
      </c>
      <c r="B45" s="51" t="s">
        <v>223</v>
      </c>
      <c r="C45" s="52">
        <f>+VLOOKUP(B45,'Indice por pilar'!$B$9:$C$20,2,FALSE)</f>
        <v>0.1</v>
      </c>
      <c r="D45" s="52">
        <f>+VLOOKUP(B45,[1]PONDERACIÓN!$B$22:$E$33,4,FALSE)</f>
        <v>0.25</v>
      </c>
      <c r="E45" s="53" t="s">
        <v>124</v>
      </c>
      <c r="F45" s="59" t="s">
        <v>228</v>
      </c>
      <c r="G45" s="60" t="s">
        <v>229</v>
      </c>
      <c r="H45" s="66" t="s">
        <v>367</v>
      </c>
      <c r="I45" s="60">
        <v>2016</v>
      </c>
      <c r="J45" s="60" t="s">
        <v>194</v>
      </c>
      <c r="K45" s="92">
        <v>0.52</v>
      </c>
      <c r="L45" s="92"/>
      <c r="M45" s="92"/>
      <c r="N45" s="92">
        <v>0.23</v>
      </c>
      <c r="O45" s="92">
        <v>0.01</v>
      </c>
      <c r="P45" s="92">
        <v>0.46</v>
      </c>
      <c r="Q45" s="92">
        <v>0.45</v>
      </c>
      <c r="R45" s="92">
        <v>8.42</v>
      </c>
      <c r="S45" s="92">
        <v>0.02</v>
      </c>
      <c r="T45" s="92">
        <v>5.68</v>
      </c>
      <c r="U45" s="92">
        <v>2.7</v>
      </c>
      <c r="V45" s="92">
        <v>0</v>
      </c>
      <c r="W45" s="92">
        <v>0.32</v>
      </c>
      <c r="X45" s="92">
        <v>0.27</v>
      </c>
      <c r="Y45" s="92"/>
      <c r="Z45" s="92"/>
      <c r="AA45" s="92">
        <v>0.01</v>
      </c>
      <c r="AB45" s="92">
        <v>0</v>
      </c>
      <c r="AC45" s="92">
        <v>42.49</v>
      </c>
      <c r="AD45" s="92">
        <v>0.02</v>
      </c>
      <c r="AE45" s="92">
        <v>1.71</v>
      </c>
      <c r="AF45" s="92">
        <v>0.02</v>
      </c>
      <c r="AG45" s="92">
        <v>0.65</v>
      </c>
      <c r="AH45" s="92">
        <v>0.33</v>
      </c>
      <c r="AI45" s="124">
        <f t="shared" si="53"/>
        <v>3.2155</v>
      </c>
      <c r="AJ45" s="124">
        <f t="shared" si="54"/>
        <v>9.4963419411454364</v>
      </c>
      <c r="AK45" s="125">
        <f t="shared" si="2"/>
        <v>2.9533018010093102</v>
      </c>
      <c r="AL45" s="125" t="str">
        <f>+HLOOKUP(AN45,$K45:$AH$68,24,FALSE)</f>
        <v>Loja</v>
      </c>
      <c r="AM45" s="133">
        <f t="shared" si="55"/>
        <v>42.49</v>
      </c>
      <c r="AN45" s="133">
        <f t="shared" si="56"/>
        <v>0</v>
      </c>
      <c r="AO45" s="124" t="e">
        <f t="shared" si="5"/>
        <v>#DIV/0!</v>
      </c>
      <c r="AP45" s="133">
        <f t="shared" si="28"/>
        <v>42.49</v>
      </c>
      <c r="AQ45" s="127">
        <f>+HLOOKUP($AQ$3,$K$3:$AH$67,43,FALSE)</f>
        <v>5.68</v>
      </c>
      <c r="AR45" s="134">
        <f t="shared" si="29"/>
        <v>1.2238173687926572</v>
      </c>
      <c r="AS45" s="134">
        <f t="shared" si="30"/>
        <v>0</v>
      </c>
      <c r="AT45" s="134">
        <f t="shared" si="31"/>
        <v>0</v>
      </c>
      <c r="AU45" s="134">
        <f t="shared" si="32"/>
        <v>0.54130383619675226</v>
      </c>
      <c r="AV45" s="134">
        <f t="shared" si="33"/>
        <v>2.3534949399858791E-2</v>
      </c>
      <c r="AW45" s="134">
        <f t="shared" si="34"/>
        <v>1.0826076723935045</v>
      </c>
      <c r="AX45" s="134">
        <f t="shared" si="35"/>
        <v>1.0590727229936454</v>
      </c>
      <c r="AY45" s="134">
        <f t="shared" si="36"/>
        <v>19.816427394681099</v>
      </c>
      <c r="AZ45" s="134">
        <f t="shared" si="37"/>
        <v>4.7069898799717583E-2</v>
      </c>
      <c r="BA45" s="134">
        <f t="shared" si="38"/>
        <v>13.367851259119792</v>
      </c>
      <c r="BB45" s="134">
        <f t="shared" si="39"/>
        <v>6.3544363379618733</v>
      </c>
      <c r="BC45" s="134">
        <f t="shared" si="40"/>
        <v>0</v>
      </c>
      <c r="BD45" s="134">
        <f t="shared" si="41"/>
        <v>0.75311838079548132</v>
      </c>
      <c r="BE45" s="134">
        <f t="shared" si="42"/>
        <v>0.6354436337961874</v>
      </c>
      <c r="BF45" s="134">
        <f t="shared" si="43"/>
        <v>0</v>
      </c>
      <c r="BG45" s="134">
        <f t="shared" si="44"/>
        <v>0</v>
      </c>
      <c r="BH45" s="134">
        <f t="shared" si="45"/>
        <v>2.3534949399858791E-2</v>
      </c>
      <c r="BI45" s="134">
        <f t="shared" si="46"/>
        <v>0</v>
      </c>
      <c r="BJ45" s="134">
        <f t="shared" si="47"/>
        <v>100</v>
      </c>
      <c r="BK45" s="134">
        <f t="shared" si="48"/>
        <v>4.7069898799717583E-2</v>
      </c>
      <c r="BL45" s="134">
        <f t="shared" si="49"/>
        <v>4.0244763473758525</v>
      </c>
      <c r="BM45" s="134">
        <f t="shared" si="50"/>
        <v>4.7069898799717583E-2</v>
      </c>
      <c r="BN45" s="134">
        <f t="shared" si="51"/>
        <v>1.5297717109908213</v>
      </c>
      <c r="BO45" s="134">
        <f t="shared" si="52"/>
        <v>0.77665333019534011</v>
      </c>
      <c r="BP45" s="129">
        <f t="shared" si="6"/>
        <v>100</v>
      </c>
      <c r="BQ45" s="129">
        <f t="shared" si="7"/>
        <v>0</v>
      </c>
      <c r="BR45" s="129">
        <f t="shared" si="8"/>
        <v>6.3063858162704944</v>
      </c>
      <c r="BS45" s="129">
        <f t="shared" si="9"/>
        <v>20.516674023822109</v>
      </c>
      <c r="BT45" s="130">
        <f t="shared" si="10"/>
        <v>3.2533172916393776</v>
      </c>
      <c r="BU45" s="131">
        <f t="shared" si="58"/>
        <v>3.0595434219816434E-2</v>
      </c>
      <c r="BV45" s="131">
        <f t="shared" si="58"/>
        <v>0</v>
      </c>
      <c r="BW45" s="131">
        <f t="shared" si="58"/>
        <v>0</v>
      </c>
      <c r="BX45" s="131">
        <f t="shared" si="58"/>
        <v>1.3532595904918808E-2</v>
      </c>
      <c r="BY45" s="131">
        <f t="shared" si="58"/>
        <v>5.8837373499646983E-4</v>
      </c>
      <c r="BZ45" s="131">
        <f t="shared" si="58"/>
        <v>2.7065191809837616E-2</v>
      </c>
      <c r="CA45" s="131">
        <f t="shared" si="58"/>
        <v>2.6476818074841136E-2</v>
      </c>
      <c r="CB45" s="131">
        <f t="shared" si="58"/>
        <v>0.4954106848670275</v>
      </c>
      <c r="CC45" s="131">
        <f t="shared" si="58"/>
        <v>1.1767474699929397E-3</v>
      </c>
      <c r="CD45" s="131">
        <f t="shared" si="58"/>
        <v>0.33419628147799485</v>
      </c>
      <c r="CE45" s="131">
        <f t="shared" si="58"/>
        <v>0.15886090844904685</v>
      </c>
      <c r="CF45" s="131">
        <f t="shared" si="58"/>
        <v>0</v>
      </c>
      <c r="CG45" s="131">
        <f t="shared" si="58"/>
        <v>1.8827959519887034E-2</v>
      </c>
      <c r="CH45" s="131">
        <f t="shared" si="58"/>
        <v>1.5886090844904686E-2</v>
      </c>
      <c r="CI45" s="131">
        <f t="shared" si="58"/>
        <v>0</v>
      </c>
      <c r="CJ45" s="131">
        <f t="shared" si="24"/>
        <v>0</v>
      </c>
      <c r="CK45" s="131">
        <f t="shared" si="24"/>
        <v>5.8837373499646983E-4</v>
      </c>
      <c r="CL45" s="131">
        <f t="shared" si="24"/>
        <v>0</v>
      </c>
      <c r="CM45" s="131">
        <f t="shared" si="24"/>
        <v>2.5</v>
      </c>
      <c r="CN45" s="131">
        <f t="shared" si="26"/>
        <v>1.1767474699929397E-3</v>
      </c>
      <c r="CO45" s="131">
        <f t="shared" si="26"/>
        <v>0.10061190868439632</v>
      </c>
      <c r="CP45" s="131">
        <f t="shared" si="26"/>
        <v>1.1767474699929397E-3</v>
      </c>
      <c r="CQ45" s="131">
        <f t="shared" si="26"/>
        <v>3.8244292774770539E-2</v>
      </c>
      <c r="CR45" s="131">
        <f t="shared" si="26"/>
        <v>1.9416333254883504E-2</v>
      </c>
      <c r="CS45" s="131">
        <f t="shared" si="26"/>
        <v>2.5</v>
      </c>
      <c r="CT45" s="132">
        <f t="shared" si="27"/>
        <v>0.30595434219816431</v>
      </c>
      <c r="CU45" s="132">
        <f t="shared" si="27"/>
        <v>0</v>
      </c>
      <c r="CV45" s="132">
        <f t="shared" si="27"/>
        <v>0</v>
      </c>
      <c r="CW45" s="132">
        <f t="shared" si="27"/>
        <v>0.13532595904918807</v>
      </c>
      <c r="CX45" s="132">
        <f t="shared" si="27"/>
        <v>5.8837373499646978E-3</v>
      </c>
      <c r="CY45" s="132">
        <f t="shared" si="27"/>
        <v>0.27065191809837613</v>
      </c>
      <c r="CZ45" s="132">
        <f t="shared" si="27"/>
        <v>0.26476818074841135</v>
      </c>
      <c r="DA45" s="132">
        <f t="shared" si="27"/>
        <v>4.9541068486702748</v>
      </c>
      <c r="DB45" s="132">
        <f t="shared" si="27"/>
        <v>1.1767474699929396E-2</v>
      </c>
      <c r="DC45" s="132">
        <f t="shared" si="27"/>
        <v>3.3419628147799481</v>
      </c>
      <c r="DD45" s="132">
        <f t="shared" si="27"/>
        <v>1.5886090844904683</v>
      </c>
      <c r="DE45" s="132">
        <f t="shared" si="27"/>
        <v>0</v>
      </c>
      <c r="DF45" s="132">
        <f t="shared" si="27"/>
        <v>0.18827959519887033</v>
      </c>
      <c r="DG45" s="132">
        <f t="shared" si="27"/>
        <v>0.15886090844904685</v>
      </c>
      <c r="DH45" s="132">
        <f t="shared" si="27"/>
        <v>0</v>
      </c>
      <c r="DI45" s="132">
        <f t="shared" si="27"/>
        <v>0</v>
      </c>
      <c r="DJ45" s="132">
        <f t="shared" si="57"/>
        <v>5.8837373499646978E-3</v>
      </c>
      <c r="DK45" s="132">
        <f t="shared" si="57"/>
        <v>0</v>
      </c>
      <c r="DL45" s="132">
        <f t="shared" si="57"/>
        <v>25</v>
      </c>
      <c r="DM45" s="132">
        <f t="shared" si="57"/>
        <v>1.1767474699929396E-2</v>
      </c>
      <c r="DN45" s="132">
        <f t="shared" si="57"/>
        <v>1.0061190868439631</v>
      </c>
      <c r="DO45" s="132">
        <f t="shared" si="57"/>
        <v>1.1767474699929396E-2</v>
      </c>
      <c r="DP45" s="132">
        <f t="shared" si="57"/>
        <v>0.38244292774770533</v>
      </c>
      <c r="DQ45" s="132">
        <f t="shared" si="57"/>
        <v>0.19416333254883503</v>
      </c>
      <c r="DR45" s="58"/>
    </row>
    <row r="46" spans="1:122" ht="165">
      <c r="A46" s="50">
        <v>2017</v>
      </c>
      <c r="B46" s="51" t="s">
        <v>223</v>
      </c>
      <c r="C46" s="52">
        <f>+VLOOKUP(B46,'Indice por pilar'!$B$9:$C$20,2,FALSE)</f>
        <v>0.1</v>
      </c>
      <c r="D46" s="52">
        <f>+VLOOKUP(B46,[1]PONDERACIÓN!$B$22:$E$33,4,FALSE)</f>
        <v>0.25</v>
      </c>
      <c r="E46" s="53" t="s">
        <v>124</v>
      </c>
      <c r="F46" s="59" t="s">
        <v>230</v>
      </c>
      <c r="G46" s="60" t="s">
        <v>231</v>
      </c>
      <c r="H46" s="66" t="s">
        <v>366</v>
      </c>
      <c r="I46" s="60">
        <v>2016</v>
      </c>
      <c r="J46" s="60" t="s">
        <v>232</v>
      </c>
      <c r="K46" s="62">
        <v>396.97</v>
      </c>
      <c r="L46" s="62">
        <v>10.67</v>
      </c>
      <c r="M46" s="62">
        <v>97.38</v>
      </c>
      <c r="N46" s="62">
        <v>55.61</v>
      </c>
      <c r="O46" s="62">
        <v>4.68</v>
      </c>
      <c r="P46" s="62">
        <v>290.52999999999997</v>
      </c>
      <c r="Q46" s="62">
        <v>1732.06</v>
      </c>
      <c r="R46" s="62">
        <v>133.19999999999999</v>
      </c>
      <c r="S46" s="62">
        <v>3122.89</v>
      </c>
      <c r="T46" s="62">
        <v>1962.41</v>
      </c>
      <c r="U46" s="62">
        <v>114.82</v>
      </c>
      <c r="V46" s="62">
        <v>4.63</v>
      </c>
      <c r="W46" s="62">
        <v>303.7</v>
      </c>
      <c r="X46" s="62">
        <v>918.03</v>
      </c>
      <c r="Y46" s="62">
        <v>0.38</v>
      </c>
      <c r="Z46" s="62">
        <v>18.920000000000002</v>
      </c>
      <c r="AA46" s="62">
        <v>1.1000000000000001</v>
      </c>
      <c r="AB46" s="62">
        <v>2.1800000000000002</v>
      </c>
      <c r="AC46" s="62">
        <v>2772.5</v>
      </c>
      <c r="AD46" s="80">
        <v>0.31757855468936824</v>
      </c>
      <c r="AE46" s="62">
        <v>119.12</v>
      </c>
      <c r="AF46" s="62">
        <v>26.47</v>
      </c>
      <c r="AG46" s="62">
        <v>282.92</v>
      </c>
      <c r="AH46" s="63">
        <v>513.49</v>
      </c>
      <c r="AI46" s="124">
        <f t="shared" si="53"/>
        <v>536.87406577311208</v>
      </c>
      <c r="AJ46" s="124">
        <f t="shared" si="54"/>
        <v>907.7518071889881</v>
      </c>
      <c r="AK46" s="125">
        <f t="shared" si="2"/>
        <v>1.6908095679417905</v>
      </c>
      <c r="AL46" s="125" t="str">
        <f>+HLOOKUP(AN46,$K46:$AH$68,23,FALSE)</f>
        <v>Sucumbíos</v>
      </c>
      <c r="AM46" s="133">
        <f t="shared" si="55"/>
        <v>3122.89</v>
      </c>
      <c r="AN46" s="133">
        <f t="shared" si="56"/>
        <v>0.31757855468936824</v>
      </c>
      <c r="AO46" s="124">
        <f t="shared" si="5"/>
        <v>9833.4410617070134</v>
      </c>
      <c r="AP46" s="133">
        <f t="shared" si="28"/>
        <v>3122.89</v>
      </c>
      <c r="AQ46" s="127">
        <f>+HLOOKUP($AQ$3,$K$3:$AH$67,44,FALSE)</f>
        <v>1962.41</v>
      </c>
      <c r="AR46" s="128">
        <f t="shared" si="29"/>
        <v>12.702745298112783</v>
      </c>
      <c r="AS46" s="128">
        <f t="shared" si="30"/>
        <v>0.33153503099597997</v>
      </c>
      <c r="AT46" s="128">
        <f t="shared" si="31"/>
        <v>3.1084121789682762</v>
      </c>
      <c r="AU46" s="128">
        <f t="shared" si="32"/>
        <v>1.770733036184251</v>
      </c>
      <c r="AV46" s="128">
        <f t="shared" si="33"/>
        <v>0.1397060133930039</v>
      </c>
      <c r="AW46" s="128">
        <f t="shared" si="34"/>
        <v>9.2940173125266767</v>
      </c>
      <c r="AX46" s="128">
        <f t="shared" si="35"/>
        <v>55.458839306720009</v>
      </c>
      <c r="AY46" s="128">
        <f t="shared" si="36"/>
        <v>4.2555432992585267</v>
      </c>
      <c r="AZ46" s="128">
        <f t="shared" si="37"/>
        <v>100</v>
      </c>
      <c r="BA46" s="128">
        <f t="shared" si="38"/>
        <v>62.835769891836136</v>
      </c>
      <c r="BB46" s="128">
        <f t="shared" si="39"/>
        <v>3.6669260465802802</v>
      </c>
      <c r="BC46" s="128">
        <f t="shared" si="40"/>
        <v>0.13810476950650161</v>
      </c>
      <c r="BD46" s="128">
        <f t="shared" si="41"/>
        <v>9.7157849522313846</v>
      </c>
      <c r="BE46" s="128">
        <f t="shared" si="42"/>
        <v>29.3896280881306</v>
      </c>
      <c r="BF46" s="128">
        <f t="shared" si="43"/>
        <v>1.9990391538057409E-3</v>
      </c>
      <c r="BG46" s="128">
        <f t="shared" si="44"/>
        <v>0.59574027226886017</v>
      </c>
      <c r="BH46" s="128">
        <f t="shared" si="45"/>
        <v>2.5056951119438925E-2</v>
      </c>
      <c r="BI46" s="128">
        <f t="shared" si="46"/>
        <v>5.9643819067888695E-2</v>
      </c>
      <c r="BJ46" s="128">
        <f t="shared" si="47"/>
        <v>88.778803092169156</v>
      </c>
      <c r="BK46" s="128">
        <f t="shared" si="48"/>
        <v>0</v>
      </c>
      <c r="BL46" s="128">
        <f t="shared" si="49"/>
        <v>3.8046330208194785</v>
      </c>
      <c r="BM46" s="128">
        <f t="shared" si="50"/>
        <v>0.83752809913070803</v>
      </c>
      <c r="BN46" s="128">
        <f t="shared" si="51"/>
        <v>9.0503079930010273</v>
      </c>
      <c r="BO46" s="128">
        <f t="shared" si="52"/>
        <v>16.434284051217755</v>
      </c>
      <c r="BP46" s="129">
        <f t="shared" si="6"/>
        <v>100</v>
      </c>
      <c r="BQ46" s="129">
        <f t="shared" si="7"/>
        <v>0</v>
      </c>
      <c r="BR46" s="129">
        <f t="shared" si="8"/>
        <v>17.183155898433021</v>
      </c>
      <c r="BS46" s="129">
        <f t="shared" si="9"/>
        <v>29.070640634455707</v>
      </c>
      <c r="BT46" s="130">
        <f t="shared" si="10"/>
        <v>1.6918103290389594</v>
      </c>
      <c r="BU46" s="131">
        <f t="shared" si="58"/>
        <v>0.31756863245281958</v>
      </c>
      <c r="BV46" s="131">
        <f t="shared" si="58"/>
        <v>8.2883757748994993E-3</v>
      </c>
      <c r="BW46" s="131">
        <f t="shared" si="58"/>
        <v>7.7710304474206904E-2</v>
      </c>
      <c r="BX46" s="131">
        <f t="shared" si="58"/>
        <v>4.4268325904606276E-2</v>
      </c>
      <c r="BY46" s="131">
        <f t="shared" si="58"/>
        <v>3.4926503348250977E-3</v>
      </c>
      <c r="BZ46" s="131">
        <f t="shared" si="58"/>
        <v>0.23235043281316692</v>
      </c>
      <c r="CA46" s="131">
        <f t="shared" si="58"/>
        <v>1.3864709826680004</v>
      </c>
      <c r="CB46" s="131">
        <f t="shared" si="58"/>
        <v>0.10638858248146317</v>
      </c>
      <c r="CC46" s="131">
        <f t="shared" si="58"/>
        <v>2.5</v>
      </c>
      <c r="CD46" s="131">
        <f t="shared" si="58"/>
        <v>1.5708942472959035</v>
      </c>
      <c r="CE46" s="131">
        <f t="shared" si="58"/>
        <v>9.1673151164507014E-2</v>
      </c>
      <c r="CF46" s="131">
        <f t="shared" si="58"/>
        <v>3.4526192376625403E-3</v>
      </c>
      <c r="CG46" s="131">
        <f t="shared" si="58"/>
        <v>0.24289462380578464</v>
      </c>
      <c r="CH46" s="131">
        <f t="shared" si="58"/>
        <v>0.73474070220326504</v>
      </c>
      <c r="CI46" s="131">
        <f t="shared" si="58"/>
        <v>4.9975978845143525E-5</v>
      </c>
      <c r="CJ46" s="131">
        <f t="shared" si="24"/>
        <v>1.4893506806721505E-2</v>
      </c>
      <c r="CK46" s="131">
        <f t="shared" si="24"/>
        <v>6.2642377798597315E-4</v>
      </c>
      <c r="CL46" s="131">
        <f t="shared" si="24"/>
        <v>1.4910954766972175E-3</v>
      </c>
      <c r="CM46" s="131">
        <f t="shared" si="24"/>
        <v>2.2194700773042291</v>
      </c>
      <c r="CN46" s="131">
        <f t="shared" si="26"/>
        <v>0</v>
      </c>
      <c r="CO46" s="131">
        <f t="shared" si="26"/>
        <v>9.5115825520486974E-2</v>
      </c>
      <c r="CP46" s="131">
        <f t="shared" si="26"/>
        <v>2.0938202478267703E-2</v>
      </c>
      <c r="CQ46" s="131">
        <f t="shared" si="26"/>
        <v>0.22625769982502569</v>
      </c>
      <c r="CR46" s="131">
        <f t="shared" si="26"/>
        <v>0.41085710128044389</v>
      </c>
      <c r="CS46" s="131">
        <f t="shared" si="26"/>
        <v>2.5</v>
      </c>
      <c r="CT46" s="132">
        <f t="shared" si="27"/>
        <v>3.1756863245281957</v>
      </c>
      <c r="CU46" s="132">
        <f t="shared" si="27"/>
        <v>8.2883757748994993E-2</v>
      </c>
      <c r="CV46" s="132">
        <f t="shared" si="27"/>
        <v>0.77710304474206904</v>
      </c>
      <c r="CW46" s="132">
        <f t="shared" si="27"/>
        <v>0.44268325904606276</v>
      </c>
      <c r="CX46" s="132">
        <f t="shared" si="27"/>
        <v>3.4926503348250974E-2</v>
      </c>
      <c r="CY46" s="132">
        <f t="shared" si="27"/>
        <v>2.3235043281316692</v>
      </c>
      <c r="CZ46" s="132">
        <f t="shared" si="27"/>
        <v>13.864709826680002</v>
      </c>
      <c r="DA46" s="132">
        <f t="shared" si="27"/>
        <v>1.0638858248146317</v>
      </c>
      <c r="DB46" s="132">
        <f t="shared" si="27"/>
        <v>25</v>
      </c>
      <c r="DC46" s="132">
        <f t="shared" si="27"/>
        <v>15.708942472959034</v>
      </c>
      <c r="DD46" s="132">
        <f t="shared" si="27"/>
        <v>0.91673151164507005</v>
      </c>
      <c r="DE46" s="132">
        <f t="shared" si="27"/>
        <v>3.4526192376625402E-2</v>
      </c>
      <c r="DF46" s="132">
        <f t="shared" si="27"/>
        <v>2.4289462380578462</v>
      </c>
      <c r="DG46" s="132">
        <f t="shared" si="27"/>
        <v>7.3474070220326499</v>
      </c>
      <c r="DH46" s="132">
        <f t="shared" si="27"/>
        <v>4.9975978845143523E-4</v>
      </c>
      <c r="DI46" s="132">
        <f t="shared" si="27"/>
        <v>0.14893506806721504</v>
      </c>
      <c r="DJ46" s="132">
        <f t="shared" si="57"/>
        <v>6.2642377798597312E-3</v>
      </c>
      <c r="DK46" s="132">
        <f t="shared" si="57"/>
        <v>1.4910954766972174E-2</v>
      </c>
      <c r="DL46" s="132">
        <f t="shared" si="57"/>
        <v>22.194700773042289</v>
      </c>
      <c r="DM46" s="132">
        <f t="shared" si="57"/>
        <v>0</v>
      </c>
      <c r="DN46" s="132">
        <f t="shared" si="57"/>
        <v>0.95115825520486963</v>
      </c>
      <c r="DO46" s="132">
        <f t="shared" si="57"/>
        <v>0.20938202478267701</v>
      </c>
      <c r="DP46" s="132">
        <f t="shared" si="57"/>
        <v>2.2625769982502568</v>
      </c>
      <c r="DQ46" s="132">
        <f t="shared" si="57"/>
        <v>4.1085710128044388</v>
      </c>
      <c r="DR46" s="58"/>
    </row>
    <row r="47" spans="1:122" ht="225">
      <c r="A47" s="50">
        <v>2017</v>
      </c>
      <c r="B47" s="51" t="s">
        <v>233</v>
      </c>
      <c r="C47" s="52">
        <f>+VLOOKUP(B47,'Indice por pilar'!$B$9:$C$20,2,FALSE)</f>
        <v>0.1</v>
      </c>
      <c r="D47" s="52">
        <f>+VLOOKUP(B47,[1]PONDERACIÓN!$B$22:$E$33,4,FALSE)</f>
        <v>0.1111111111111111</v>
      </c>
      <c r="E47" s="53" t="s">
        <v>124</v>
      </c>
      <c r="F47" s="59" t="s">
        <v>234</v>
      </c>
      <c r="G47" s="60" t="s">
        <v>235</v>
      </c>
      <c r="H47" s="93" t="s">
        <v>361</v>
      </c>
      <c r="I47" s="60">
        <v>2017</v>
      </c>
      <c r="J47" s="60" t="s">
        <v>131</v>
      </c>
      <c r="K47" s="64">
        <v>6.7000000000000004E-2</v>
      </c>
      <c r="L47" s="64">
        <v>1.8E-3</v>
      </c>
      <c r="M47" s="64">
        <v>9.2999999999999992E-3</v>
      </c>
      <c r="N47" s="64">
        <v>2.3999999999999998E-3</v>
      </c>
      <c r="O47" s="64">
        <v>1.0999999999999999E-2</v>
      </c>
      <c r="P47" s="64">
        <v>7.3000000000000001E-3</v>
      </c>
      <c r="Q47" s="64">
        <v>2.9899999999999999E-2</v>
      </c>
      <c r="R47" s="64">
        <v>7.4000000000000003E-3</v>
      </c>
      <c r="S47" s="64">
        <v>1.4E-3</v>
      </c>
      <c r="T47" s="64">
        <v>0.26369999999999999</v>
      </c>
      <c r="U47" s="64">
        <v>1.4500000000000001E-2</v>
      </c>
      <c r="V47" s="64">
        <v>1.66E-2</v>
      </c>
      <c r="W47" s="64">
        <v>1.3299999999999999E-2</v>
      </c>
      <c r="X47" s="64">
        <v>3.1199999999999999E-2</v>
      </c>
      <c r="Y47" s="64">
        <v>8.9999999999999998E-4</v>
      </c>
      <c r="Z47" s="64">
        <v>8.0000000000000004E-4</v>
      </c>
      <c r="AA47" s="64">
        <v>2.5999999999999999E-3</v>
      </c>
      <c r="AB47" s="64">
        <v>1.1999999999999999E-3</v>
      </c>
      <c r="AC47" s="64">
        <v>0.4718</v>
      </c>
      <c r="AD47" s="64">
        <v>3.0999999999999999E-3</v>
      </c>
      <c r="AE47" s="64">
        <v>2.4799999999999999E-2</v>
      </c>
      <c r="AF47" s="64">
        <v>1E-3</v>
      </c>
      <c r="AG47" s="64">
        <v>4.4000000000000003E-3</v>
      </c>
      <c r="AH47" s="65">
        <v>1.2699999999999999E-2</v>
      </c>
      <c r="AI47" s="124">
        <f t="shared" si="53"/>
        <v>4.1670833333333331E-2</v>
      </c>
      <c r="AJ47" s="124">
        <f t="shared" si="54"/>
        <v>0.10603927278696514</v>
      </c>
      <c r="AK47" s="125">
        <f t="shared" si="2"/>
        <v>2.5446880780793557</v>
      </c>
      <c r="AL47" s="125" t="str">
        <f>+HLOOKUP(AN47,$K47:$AH$68,22,FALSE)</f>
        <v>Napo</v>
      </c>
      <c r="AM47" s="135">
        <f t="shared" si="55"/>
        <v>0.4718</v>
      </c>
      <c r="AN47" s="135">
        <f t="shared" si="56"/>
        <v>8.0000000000000004E-4</v>
      </c>
      <c r="AO47" s="124">
        <f t="shared" si="5"/>
        <v>589.75</v>
      </c>
      <c r="AP47" s="135">
        <f t="shared" si="28"/>
        <v>0.4718</v>
      </c>
      <c r="AQ47" s="139">
        <f>+HLOOKUP($AQ$3,$K$3:$AH$67,45,FALSE)</f>
        <v>0.26369999999999999</v>
      </c>
      <c r="AR47" s="134">
        <f t="shared" si="29"/>
        <v>14.055201698513804</v>
      </c>
      <c r="AS47" s="134">
        <f t="shared" si="30"/>
        <v>0.21231422505307856</v>
      </c>
      <c r="AT47" s="134">
        <f t="shared" si="31"/>
        <v>1.8046709129511678</v>
      </c>
      <c r="AU47" s="134">
        <f t="shared" si="32"/>
        <v>0.33970276008492567</v>
      </c>
      <c r="AV47" s="134">
        <f t="shared" si="33"/>
        <v>2.1656050955414012</v>
      </c>
      <c r="AW47" s="134">
        <f t="shared" si="34"/>
        <v>1.3800424628450108</v>
      </c>
      <c r="AX47" s="134">
        <f t="shared" si="35"/>
        <v>6.1783439490445868</v>
      </c>
      <c r="AY47" s="134">
        <f t="shared" si="36"/>
        <v>1.4012738853503186</v>
      </c>
      <c r="AZ47" s="134">
        <f t="shared" si="37"/>
        <v>0.12738853503184713</v>
      </c>
      <c r="BA47" s="134">
        <f t="shared" si="38"/>
        <v>55.817409766454354</v>
      </c>
      <c r="BB47" s="134">
        <f t="shared" si="39"/>
        <v>2.9087048832271765</v>
      </c>
      <c r="BC47" s="134">
        <f t="shared" si="40"/>
        <v>3.3545647558386418</v>
      </c>
      <c r="BD47" s="134">
        <f t="shared" si="41"/>
        <v>2.6539278131634818</v>
      </c>
      <c r="BE47" s="134">
        <f t="shared" si="42"/>
        <v>6.4543524416135885</v>
      </c>
      <c r="BF47" s="134">
        <f t="shared" si="43"/>
        <v>2.1231422505307844E-2</v>
      </c>
      <c r="BG47" s="134">
        <f t="shared" si="44"/>
        <v>0</v>
      </c>
      <c r="BH47" s="134">
        <f t="shared" si="45"/>
        <v>0.38216560509554143</v>
      </c>
      <c r="BI47" s="134">
        <f t="shared" si="46"/>
        <v>8.492569002123139E-2</v>
      </c>
      <c r="BJ47" s="134">
        <f t="shared" si="47"/>
        <v>100</v>
      </c>
      <c r="BK47" s="134">
        <f t="shared" si="48"/>
        <v>0.48832271762208068</v>
      </c>
      <c r="BL47" s="134">
        <f t="shared" si="49"/>
        <v>5.095541401273886</v>
      </c>
      <c r="BM47" s="134">
        <f t="shared" si="50"/>
        <v>4.2462845010615709E-2</v>
      </c>
      <c r="BN47" s="134">
        <f t="shared" si="51"/>
        <v>0.76433121019108285</v>
      </c>
      <c r="BO47" s="134">
        <f t="shared" si="52"/>
        <v>2.5265392781316347</v>
      </c>
      <c r="BP47" s="129">
        <f t="shared" si="6"/>
        <v>100</v>
      </c>
      <c r="BQ47" s="129">
        <f t="shared" si="7"/>
        <v>0</v>
      </c>
      <c r="BR47" s="129">
        <f t="shared" si="8"/>
        <v>8.6774593064401984</v>
      </c>
      <c r="BS47" s="129">
        <f t="shared" si="9"/>
        <v>22.513646026956504</v>
      </c>
      <c r="BT47" s="130">
        <f t="shared" si="10"/>
        <v>2.5944974481467664</v>
      </c>
      <c r="BU47" s="131">
        <f t="shared" si="58"/>
        <v>0.15616890776126449</v>
      </c>
      <c r="BV47" s="131">
        <f t="shared" si="58"/>
        <v>2.3590469450342063E-3</v>
      </c>
      <c r="BW47" s="131">
        <f t="shared" si="58"/>
        <v>2.0051899032790754E-2</v>
      </c>
      <c r="BX47" s="131">
        <f t="shared" si="58"/>
        <v>3.7744751120547294E-3</v>
      </c>
      <c r="BY47" s="131">
        <f t="shared" si="58"/>
        <v>2.4062278839348902E-2</v>
      </c>
      <c r="BZ47" s="131">
        <f t="shared" si="58"/>
        <v>1.5333805142722342E-2</v>
      </c>
      <c r="CA47" s="131">
        <f t="shared" si="58"/>
        <v>6.8648266100495403E-2</v>
      </c>
      <c r="CB47" s="131">
        <f t="shared" si="58"/>
        <v>1.5569709837225762E-2</v>
      </c>
      <c r="CC47" s="131">
        <f t="shared" si="58"/>
        <v>1.4154281670205238E-3</v>
      </c>
      <c r="CD47" s="131">
        <f t="shared" si="58"/>
        <v>0.62019344184949277</v>
      </c>
      <c r="CE47" s="131">
        <f t="shared" si="58"/>
        <v>3.2318943146968628E-2</v>
      </c>
      <c r="CF47" s="131">
        <f t="shared" si="58"/>
        <v>3.7272941731540464E-2</v>
      </c>
      <c r="CG47" s="131">
        <f t="shared" si="58"/>
        <v>2.9488086812927576E-2</v>
      </c>
      <c r="CH47" s="131">
        <f t="shared" si="58"/>
        <v>7.1715027129039877E-2</v>
      </c>
      <c r="CI47" s="131">
        <f t="shared" si="58"/>
        <v>2.3590469450342051E-4</v>
      </c>
      <c r="CJ47" s="131">
        <f t="shared" si="24"/>
        <v>0</v>
      </c>
      <c r="CK47" s="131">
        <f t="shared" si="24"/>
        <v>4.2462845010615719E-3</v>
      </c>
      <c r="CL47" s="131">
        <f t="shared" si="24"/>
        <v>9.4361877801368203E-4</v>
      </c>
      <c r="CM47" s="131">
        <f t="shared" si="24"/>
        <v>1.1111111111111112</v>
      </c>
      <c r="CN47" s="131">
        <f t="shared" si="26"/>
        <v>5.4258079735786746E-3</v>
      </c>
      <c r="CO47" s="131">
        <f t="shared" si="26"/>
        <v>5.6617126680820959E-2</v>
      </c>
      <c r="CP47" s="131">
        <f t="shared" si="26"/>
        <v>4.7180938900684118E-4</v>
      </c>
      <c r="CQ47" s="131">
        <f t="shared" si="26"/>
        <v>8.4925690021231438E-3</v>
      </c>
      <c r="CR47" s="131">
        <f t="shared" si="26"/>
        <v>2.807265864590705E-2</v>
      </c>
      <c r="CS47" s="131">
        <f t="shared" si="26"/>
        <v>1.1111111111111112</v>
      </c>
      <c r="CT47" s="132">
        <f t="shared" si="27"/>
        <v>1.5616890776126446</v>
      </c>
      <c r="CU47" s="132">
        <f t="shared" si="27"/>
        <v>2.3590469450342062E-2</v>
      </c>
      <c r="CV47" s="132">
        <f t="shared" si="27"/>
        <v>0.20051899032790751</v>
      </c>
      <c r="CW47" s="132">
        <f t="shared" si="27"/>
        <v>3.7744751120547294E-2</v>
      </c>
      <c r="CX47" s="132">
        <f t="shared" si="27"/>
        <v>0.24062278839348902</v>
      </c>
      <c r="CY47" s="132">
        <f t="shared" si="27"/>
        <v>0.1533380514272234</v>
      </c>
      <c r="CZ47" s="132">
        <f t="shared" si="27"/>
        <v>0.68648266100495403</v>
      </c>
      <c r="DA47" s="132">
        <f t="shared" si="27"/>
        <v>0.15569709837225762</v>
      </c>
      <c r="DB47" s="132">
        <f t="shared" si="27"/>
        <v>1.4154281670205236E-2</v>
      </c>
      <c r="DC47" s="132">
        <f t="shared" si="27"/>
        <v>6.2019344184949281</v>
      </c>
      <c r="DD47" s="132">
        <f t="shared" si="27"/>
        <v>0.32318943146968626</v>
      </c>
      <c r="DE47" s="132">
        <f t="shared" si="27"/>
        <v>0.3727294173154046</v>
      </c>
      <c r="DF47" s="132">
        <f t="shared" si="27"/>
        <v>0.29488086812927572</v>
      </c>
      <c r="DG47" s="132">
        <f t="shared" si="27"/>
        <v>0.71715027129039866</v>
      </c>
      <c r="DH47" s="132">
        <f t="shared" si="27"/>
        <v>2.3590469450342046E-3</v>
      </c>
      <c r="DI47" s="132">
        <f t="shared" si="27"/>
        <v>0</v>
      </c>
      <c r="DJ47" s="132">
        <f t="shared" si="57"/>
        <v>4.2462845010615709E-2</v>
      </c>
      <c r="DK47" s="132">
        <f t="shared" si="57"/>
        <v>9.4361877801368201E-3</v>
      </c>
      <c r="DL47" s="132">
        <f t="shared" si="57"/>
        <v>11.111111111111111</v>
      </c>
      <c r="DM47" s="132">
        <f t="shared" si="57"/>
        <v>5.4258079735786738E-2</v>
      </c>
      <c r="DN47" s="132">
        <f t="shared" si="57"/>
        <v>0.56617126680820951</v>
      </c>
      <c r="DO47" s="132">
        <f t="shared" si="57"/>
        <v>4.7180938900684118E-3</v>
      </c>
      <c r="DP47" s="132">
        <f t="shared" si="57"/>
        <v>8.4925690021231418E-2</v>
      </c>
      <c r="DQ47" s="132">
        <f t="shared" si="57"/>
        <v>0.2807265864590705</v>
      </c>
      <c r="DR47" s="58"/>
    </row>
    <row r="48" spans="1:122" ht="110">
      <c r="A48" s="50">
        <v>2017</v>
      </c>
      <c r="B48" s="94" t="s">
        <v>233</v>
      </c>
      <c r="C48" s="52">
        <f>+VLOOKUP(B48,'Indice por pilar'!$B$9:$C$20,2,FALSE)</f>
        <v>0.1</v>
      </c>
      <c r="D48" s="52">
        <f>+VLOOKUP(B48,[1]PONDERACIÓN!$B$22:$E$33,4,FALSE)</f>
        <v>0.1111111111111111</v>
      </c>
      <c r="E48" s="67" t="s">
        <v>124</v>
      </c>
      <c r="F48" s="59" t="s">
        <v>236</v>
      </c>
      <c r="G48" s="60" t="s">
        <v>237</v>
      </c>
      <c r="H48" s="66" t="s">
        <v>362</v>
      </c>
      <c r="I48" s="60">
        <v>2017</v>
      </c>
      <c r="J48" s="60" t="s">
        <v>131</v>
      </c>
      <c r="K48" s="64">
        <v>5.6899999999999999E-2</v>
      </c>
      <c r="L48" s="64">
        <v>1.9E-3</v>
      </c>
      <c r="M48" s="64">
        <v>2.5000000000000001E-3</v>
      </c>
      <c r="N48" s="64">
        <v>5.0000000000000001E-4</v>
      </c>
      <c r="O48" s="64">
        <v>6.7000000000000002E-3</v>
      </c>
      <c r="P48" s="64">
        <v>7.7999999999999996E-3</v>
      </c>
      <c r="Q48" s="64">
        <v>2.3E-2</v>
      </c>
      <c r="R48" s="64">
        <v>3.8999999999999998E-3</v>
      </c>
      <c r="S48" s="64">
        <v>2.0000000000000001E-4</v>
      </c>
      <c r="T48" s="64">
        <v>0.35849999999999999</v>
      </c>
      <c r="U48" s="64">
        <v>2.1999999999999999E-2</v>
      </c>
      <c r="V48" s="64">
        <v>9.4000000000000004E-3</v>
      </c>
      <c r="W48" s="64">
        <v>1.2500000000000001E-2</v>
      </c>
      <c r="X48" s="64">
        <v>3.8699999999999998E-2</v>
      </c>
      <c r="Y48" s="64">
        <v>1.1000000000000001E-3</v>
      </c>
      <c r="Z48" s="64">
        <v>8.0000000000000004E-4</v>
      </c>
      <c r="AA48" s="64">
        <v>2.2000000000000001E-3</v>
      </c>
      <c r="AB48" s="64">
        <v>5.7000000000000002E-3</v>
      </c>
      <c r="AC48" s="64">
        <v>0.3906</v>
      </c>
      <c r="AD48" s="64">
        <v>2.8999999999999998E-3</v>
      </c>
      <c r="AE48" s="64">
        <v>3.1E-2</v>
      </c>
      <c r="AF48" s="64">
        <v>1.1000000000000001E-3</v>
      </c>
      <c r="AG48" s="64">
        <v>4.0000000000000001E-3</v>
      </c>
      <c r="AH48" s="65">
        <v>1.6E-2</v>
      </c>
      <c r="AI48" s="124">
        <f t="shared" si="53"/>
        <v>4.1662500000000005E-2</v>
      </c>
      <c r="AJ48" s="124">
        <f t="shared" si="54"/>
        <v>0.10359580238474496</v>
      </c>
      <c r="AK48" s="125">
        <f t="shared" si="2"/>
        <v>2.4865479120250811</v>
      </c>
      <c r="AL48" s="125" t="str">
        <f>+HLOOKUP(AN48,$K48:$AH$68,21,FALSE)</f>
        <v>Galápagos</v>
      </c>
      <c r="AM48" s="135">
        <f t="shared" si="55"/>
        <v>0.3906</v>
      </c>
      <c r="AN48" s="135">
        <f t="shared" si="56"/>
        <v>2.0000000000000001E-4</v>
      </c>
      <c r="AO48" s="124">
        <f t="shared" si="5"/>
        <v>1953</v>
      </c>
      <c r="AP48" s="135">
        <f t="shared" si="28"/>
        <v>0.3906</v>
      </c>
      <c r="AQ48" s="139">
        <f>+HLOOKUP($AQ$3,$K$3:$AH$67,46,FALSE)</f>
        <v>0.35849999999999999</v>
      </c>
      <c r="AR48" s="134">
        <f t="shared" si="29"/>
        <v>14.523565573770492</v>
      </c>
      <c r="AS48" s="134">
        <f t="shared" si="30"/>
        <v>0.43545081967213112</v>
      </c>
      <c r="AT48" s="134">
        <f t="shared" si="31"/>
        <v>0.58913934426229508</v>
      </c>
      <c r="AU48" s="134">
        <f t="shared" si="32"/>
        <v>7.6844262295081969E-2</v>
      </c>
      <c r="AV48" s="134">
        <f t="shared" si="33"/>
        <v>1.6649590163934427</v>
      </c>
      <c r="AW48" s="134">
        <f t="shared" si="34"/>
        <v>1.9467213114754096</v>
      </c>
      <c r="AX48" s="134">
        <f t="shared" si="35"/>
        <v>5.8401639344262293</v>
      </c>
      <c r="AY48" s="134">
        <f t="shared" si="36"/>
        <v>0.94774590163934413</v>
      </c>
      <c r="AZ48" s="134">
        <f t="shared" si="37"/>
        <v>0</v>
      </c>
      <c r="BA48" s="134">
        <f t="shared" si="38"/>
        <v>91.777663934426229</v>
      </c>
      <c r="BB48" s="134">
        <f t="shared" si="39"/>
        <v>5.5840163934426226</v>
      </c>
      <c r="BC48" s="134">
        <f t="shared" si="40"/>
        <v>2.3565573770491803</v>
      </c>
      <c r="BD48" s="134">
        <f t="shared" si="41"/>
        <v>3.1506147540983602</v>
      </c>
      <c r="BE48" s="134">
        <f t="shared" si="42"/>
        <v>9.8616803278688518</v>
      </c>
      <c r="BF48" s="134">
        <f t="shared" si="43"/>
        <v>0.23053278688524589</v>
      </c>
      <c r="BG48" s="134">
        <f t="shared" si="44"/>
        <v>0.15368852459016394</v>
      </c>
      <c r="BH48" s="134">
        <f t="shared" si="45"/>
        <v>0.51229508196721307</v>
      </c>
      <c r="BI48" s="134">
        <f t="shared" si="46"/>
        <v>1.408811475409836</v>
      </c>
      <c r="BJ48" s="134">
        <f t="shared" si="47"/>
        <v>100</v>
      </c>
      <c r="BK48" s="134">
        <f t="shared" si="48"/>
        <v>0.69159836065573765</v>
      </c>
      <c r="BL48" s="134">
        <f t="shared" si="49"/>
        <v>7.889344262295082</v>
      </c>
      <c r="BM48" s="134">
        <f t="shared" si="50"/>
        <v>0.23053278688524589</v>
      </c>
      <c r="BN48" s="134">
        <f t="shared" si="51"/>
        <v>0.97336065573770481</v>
      </c>
      <c r="BO48" s="134">
        <f t="shared" si="52"/>
        <v>4.0471311475409841</v>
      </c>
      <c r="BP48" s="129">
        <f t="shared" si="6"/>
        <v>100</v>
      </c>
      <c r="BQ48" s="129">
        <f t="shared" si="7"/>
        <v>0</v>
      </c>
      <c r="BR48" s="129">
        <f t="shared" si="8"/>
        <v>10.620517418032788</v>
      </c>
      <c r="BS48" s="129">
        <f t="shared" si="9"/>
        <v>26.535810037076065</v>
      </c>
      <c r="BT48" s="130">
        <f t="shared" si="10"/>
        <v>2.4985421135904717</v>
      </c>
      <c r="BU48" s="131">
        <f t="shared" si="58"/>
        <v>0.16137295081967215</v>
      </c>
      <c r="BV48" s="131">
        <f t="shared" si="58"/>
        <v>4.8383424408014568E-3</v>
      </c>
      <c r="BW48" s="131">
        <f t="shared" si="58"/>
        <v>6.5459927140255007E-3</v>
      </c>
      <c r="BX48" s="131">
        <f t="shared" si="58"/>
        <v>8.5382513661202194E-4</v>
      </c>
      <c r="BY48" s="131">
        <f t="shared" si="58"/>
        <v>1.8499544626593808E-2</v>
      </c>
      <c r="BZ48" s="131">
        <f t="shared" si="58"/>
        <v>2.1630236794171219E-2</v>
      </c>
      <c r="CA48" s="131">
        <f t="shared" si="58"/>
        <v>6.489071038251365E-2</v>
      </c>
      <c r="CB48" s="131">
        <f t="shared" si="58"/>
        <v>1.0530510018214935E-2</v>
      </c>
      <c r="CC48" s="131">
        <f t="shared" si="58"/>
        <v>0</v>
      </c>
      <c r="CD48" s="131">
        <f t="shared" si="58"/>
        <v>1.0197518214936248</v>
      </c>
      <c r="CE48" s="131">
        <f t="shared" si="58"/>
        <v>6.2044626593806912E-2</v>
      </c>
      <c r="CF48" s="131">
        <f t="shared" si="58"/>
        <v>2.6183970856102003E-2</v>
      </c>
      <c r="CG48" s="131">
        <f t="shared" si="58"/>
        <v>3.5006830601092893E-2</v>
      </c>
      <c r="CH48" s="131">
        <f t="shared" si="58"/>
        <v>0.10957422586520947</v>
      </c>
      <c r="CI48" s="131">
        <f t="shared" si="58"/>
        <v>2.5614754098360654E-3</v>
      </c>
      <c r="CJ48" s="131">
        <f t="shared" si="24"/>
        <v>1.7076502732240439E-3</v>
      </c>
      <c r="CK48" s="131">
        <f t="shared" si="24"/>
        <v>5.6921675774134787E-3</v>
      </c>
      <c r="CL48" s="131">
        <f t="shared" si="24"/>
        <v>1.5653460837887066E-2</v>
      </c>
      <c r="CM48" s="131">
        <f t="shared" si="24"/>
        <v>1.1111111111111112</v>
      </c>
      <c r="CN48" s="131">
        <f t="shared" si="26"/>
        <v>7.6844262295081966E-3</v>
      </c>
      <c r="CO48" s="131">
        <f t="shared" si="26"/>
        <v>8.7659380692167582E-2</v>
      </c>
      <c r="CP48" s="131">
        <f t="shared" si="26"/>
        <v>2.5614754098360654E-3</v>
      </c>
      <c r="CQ48" s="131">
        <f t="shared" si="26"/>
        <v>1.0815118397085609E-2</v>
      </c>
      <c r="CR48" s="131">
        <f t="shared" si="26"/>
        <v>4.496812386156649E-2</v>
      </c>
      <c r="CS48" s="131">
        <f t="shared" si="26"/>
        <v>1.1111111111111112</v>
      </c>
      <c r="CT48" s="132">
        <f t="shared" si="27"/>
        <v>1.6137295081967213</v>
      </c>
      <c r="CU48" s="132">
        <f t="shared" si="27"/>
        <v>4.8383424408014568E-2</v>
      </c>
      <c r="CV48" s="132">
        <f t="shared" si="27"/>
        <v>6.5459927140255003E-2</v>
      </c>
      <c r="CW48" s="132">
        <f t="shared" si="27"/>
        <v>8.5382513661202177E-3</v>
      </c>
      <c r="CX48" s="132">
        <f t="shared" si="27"/>
        <v>0.18499544626593806</v>
      </c>
      <c r="CY48" s="132">
        <f t="shared" si="27"/>
        <v>0.21630236794171218</v>
      </c>
      <c r="CZ48" s="132">
        <f t="shared" si="27"/>
        <v>0.6489071038251365</v>
      </c>
      <c r="DA48" s="132">
        <f t="shared" si="27"/>
        <v>0.10530510018214934</v>
      </c>
      <c r="DB48" s="132">
        <f t="shared" si="27"/>
        <v>0</v>
      </c>
      <c r="DC48" s="132">
        <f t="shared" si="27"/>
        <v>10.197518214936247</v>
      </c>
      <c r="DD48" s="132">
        <f t="shared" si="27"/>
        <v>0.62044626593806917</v>
      </c>
      <c r="DE48" s="132">
        <f t="shared" si="27"/>
        <v>0.26183970856102001</v>
      </c>
      <c r="DF48" s="132">
        <f t="shared" si="27"/>
        <v>0.35006830601092892</v>
      </c>
      <c r="DG48" s="132">
        <f t="shared" si="27"/>
        <v>1.0957422586520946</v>
      </c>
      <c r="DH48" s="132">
        <f t="shared" si="27"/>
        <v>2.5614754098360653E-2</v>
      </c>
      <c r="DI48" s="132">
        <f t="shared" si="27"/>
        <v>1.7076502732240435E-2</v>
      </c>
      <c r="DJ48" s="132">
        <f t="shared" si="57"/>
        <v>5.6921675774134782E-2</v>
      </c>
      <c r="DK48" s="132">
        <f t="shared" si="57"/>
        <v>0.15653460837887065</v>
      </c>
      <c r="DL48" s="132">
        <f t="shared" si="57"/>
        <v>11.111111111111111</v>
      </c>
      <c r="DM48" s="132">
        <f t="shared" si="57"/>
        <v>7.6844262295081955E-2</v>
      </c>
      <c r="DN48" s="132">
        <f t="shared" si="57"/>
        <v>0.87659380692167577</v>
      </c>
      <c r="DO48" s="132">
        <f t="shared" si="57"/>
        <v>2.5614754098360653E-2</v>
      </c>
      <c r="DP48" s="132">
        <f t="shared" si="57"/>
        <v>0.10815118397085609</v>
      </c>
      <c r="DQ48" s="132">
        <f t="shared" si="57"/>
        <v>0.44968123861566489</v>
      </c>
      <c r="DR48" s="58"/>
    </row>
    <row r="49" spans="1:122" ht="111" thickBot="1">
      <c r="A49" s="50">
        <v>2017</v>
      </c>
      <c r="B49" s="94" t="s">
        <v>233</v>
      </c>
      <c r="C49" s="52">
        <f>+VLOOKUP(B49,'Indice por pilar'!$B$9:$C$20,2,FALSE)</f>
        <v>0.1</v>
      </c>
      <c r="D49" s="52">
        <f>+VLOOKUP(B49,[1]PONDERACIÓN!$B$22:$E$33,4,FALSE)</f>
        <v>0.1111111111111111</v>
      </c>
      <c r="E49" s="67" t="s">
        <v>124</v>
      </c>
      <c r="F49" s="59" t="s">
        <v>238</v>
      </c>
      <c r="G49" s="60" t="s">
        <v>239</v>
      </c>
      <c r="H49" s="66" t="s">
        <v>362</v>
      </c>
      <c r="I49" s="60">
        <v>2017</v>
      </c>
      <c r="J49" s="60" t="s">
        <v>240</v>
      </c>
      <c r="K49" s="95">
        <v>2632.6857473456275</v>
      </c>
      <c r="L49" s="95">
        <v>278.09048186407176</v>
      </c>
      <c r="M49" s="95">
        <v>1159.1088321550371</v>
      </c>
      <c r="N49" s="95">
        <v>413.45672369988586</v>
      </c>
      <c r="O49" s="95">
        <v>668.77068779561307</v>
      </c>
      <c r="P49" s="95">
        <v>498.31119683288318</v>
      </c>
      <c r="Q49" s="95">
        <v>1394.5452866102066</v>
      </c>
      <c r="R49" s="95">
        <v>388.34971308313925</v>
      </c>
      <c r="S49" s="95">
        <v>1539.8524152205059</v>
      </c>
      <c r="T49" s="95">
        <v>2025.370596096594</v>
      </c>
      <c r="U49" s="95">
        <v>1017.5793704111048</v>
      </c>
      <c r="V49" s="95">
        <v>1035.2089977414769</v>
      </c>
      <c r="W49" s="95">
        <v>479.05954006798481</v>
      </c>
      <c r="X49" s="95">
        <v>637.67266241294215</v>
      </c>
      <c r="Y49" s="95">
        <v>163.99688887386779</v>
      </c>
      <c r="Z49" s="95">
        <v>206.81433339440872</v>
      </c>
      <c r="AA49" s="95">
        <v>540.67263145546781</v>
      </c>
      <c r="AB49" s="95">
        <v>387.1252811170815</v>
      </c>
      <c r="AC49" s="95">
        <v>5126.7758427147273</v>
      </c>
      <c r="AD49" s="95">
        <v>401.39254327114651</v>
      </c>
      <c r="AE49" s="95">
        <v>963.18002942830833</v>
      </c>
      <c r="AF49" s="95">
        <v>486.16306847545206</v>
      </c>
      <c r="AG49" s="95">
        <v>1377.1310351517986</v>
      </c>
      <c r="AH49" s="95">
        <v>299.62893746716861</v>
      </c>
      <c r="AI49" s="124">
        <f t="shared" si="53"/>
        <v>1005.0392851119377</v>
      </c>
      <c r="AJ49" s="124">
        <f t="shared" si="54"/>
        <v>1071.2682273922494</v>
      </c>
      <c r="AK49" s="125">
        <f t="shared" si="2"/>
        <v>1.0658968691685871</v>
      </c>
      <c r="AL49" s="125" t="str">
        <f>+HLOOKUP(AN49,$K49:$AH$68,20,FALSE)</f>
        <v>Morona Santiago</v>
      </c>
      <c r="AM49" s="133">
        <f t="shared" si="55"/>
        <v>5126.7758427147273</v>
      </c>
      <c r="AN49" s="133">
        <f t="shared" si="56"/>
        <v>163.99688887386779</v>
      </c>
      <c r="AO49" s="124">
        <f t="shared" si="5"/>
        <v>31.261421347192748</v>
      </c>
      <c r="AP49" s="133">
        <f t="shared" si="28"/>
        <v>5126.7758427147273</v>
      </c>
      <c r="AQ49" s="127">
        <f>+HLOOKUP($AQ$3,$K$3:$AH$67,47,FALSE)</f>
        <v>2025.370596096594</v>
      </c>
      <c r="AR49" s="134">
        <f t="shared" si="29"/>
        <v>49.744082527817596</v>
      </c>
      <c r="AS49" s="134">
        <f t="shared" si="30"/>
        <v>2.2989859925536908</v>
      </c>
      <c r="AT49" s="134">
        <f t="shared" si="31"/>
        <v>20.051506475238419</v>
      </c>
      <c r="AU49" s="134">
        <f t="shared" si="32"/>
        <v>5.026615876835554</v>
      </c>
      <c r="AV49" s="134">
        <f t="shared" si="33"/>
        <v>10.171192463268671</v>
      </c>
      <c r="AW49" s="134">
        <f t="shared" si="34"/>
        <v>6.7364335802278363</v>
      </c>
      <c r="AX49" s="134">
        <f t="shared" si="35"/>
        <v>24.795551226072167</v>
      </c>
      <c r="AY49" s="134">
        <f t="shared" si="36"/>
        <v>4.5207095922665941</v>
      </c>
      <c r="AZ49" s="134">
        <f t="shared" si="37"/>
        <v>27.723489987032725</v>
      </c>
      <c r="BA49" s="134">
        <f t="shared" si="38"/>
        <v>37.506681730850552</v>
      </c>
      <c r="BB49" s="134">
        <f t="shared" si="39"/>
        <v>17.199687704740935</v>
      </c>
      <c r="BC49" s="134">
        <f t="shared" si="40"/>
        <v>17.554924709941979</v>
      </c>
      <c r="BD49" s="134">
        <f t="shared" si="41"/>
        <v>6.3485126805875485</v>
      </c>
      <c r="BE49" s="134">
        <f t="shared" si="42"/>
        <v>9.5445672262408721</v>
      </c>
      <c r="BF49" s="134">
        <f t="shared" si="43"/>
        <v>0</v>
      </c>
      <c r="BG49" s="134">
        <f t="shared" si="44"/>
        <v>0.86277154229089903</v>
      </c>
      <c r="BH49" s="134">
        <f t="shared" si="45"/>
        <v>7.5900165227000116</v>
      </c>
      <c r="BI49" s="134">
        <f t="shared" si="46"/>
        <v>4.4960372871438743</v>
      </c>
      <c r="BJ49" s="134">
        <f t="shared" si="47"/>
        <v>100</v>
      </c>
      <c r="BK49" s="134">
        <f t="shared" si="48"/>
        <v>4.7835226312779922</v>
      </c>
      <c r="BL49" s="134">
        <f t="shared" si="49"/>
        <v>16.103540939213627</v>
      </c>
      <c r="BM49" s="134">
        <f t="shared" si="50"/>
        <v>6.4916487838381194</v>
      </c>
      <c r="BN49" s="134">
        <f t="shared" si="51"/>
        <v>24.444654044868265</v>
      </c>
      <c r="BO49" s="134">
        <f t="shared" si="52"/>
        <v>2.7329858906637514</v>
      </c>
      <c r="BP49" s="129">
        <f t="shared" si="6"/>
        <v>100</v>
      </c>
      <c r="BQ49" s="129">
        <f t="shared" si="7"/>
        <v>0</v>
      </c>
      <c r="BR49" s="129">
        <f t="shared" si="8"/>
        <v>16.947004975652991</v>
      </c>
      <c r="BS49" s="129">
        <f t="shared" si="9"/>
        <v>21.586055662687929</v>
      </c>
      <c r="BT49" s="130">
        <f t="shared" si="10"/>
        <v>1.273738674987094</v>
      </c>
      <c r="BU49" s="131">
        <f t="shared" si="58"/>
        <v>0.55271202808686226</v>
      </c>
      <c r="BV49" s="131">
        <f t="shared" si="58"/>
        <v>2.5544288806152119E-2</v>
      </c>
      <c r="BW49" s="131">
        <f t="shared" si="58"/>
        <v>0.22279451639153799</v>
      </c>
      <c r="BX49" s="131">
        <f t="shared" si="58"/>
        <v>5.5851287520395039E-2</v>
      </c>
      <c r="BY49" s="131">
        <f t="shared" si="58"/>
        <v>0.11301324959187413</v>
      </c>
      <c r="BZ49" s="131">
        <f t="shared" si="58"/>
        <v>7.4849262002531516E-2</v>
      </c>
      <c r="CA49" s="131">
        <f t="shared" si="58"/>
        <v>0.27550612473413516</v>
      </c>
      <c r="CB49" s="131">
        <f t="shared" si="58"/>
        <v>5.0230106580739932E-2</v>
      </c>
      <c r="CC49" s="131">
        <f t="shared" si="58"/>
        <v>0.30803877763369691</v>
      </c>
      <c r="CD49" s="131">
        <f t="shared" si="58"/>
        <v>0.41674090812056169</v>
      </c>
      <c r="CE49" s="131">
        <f t="shared" si="58"/>
        <v>0.19110764116378817</v>
      </c>
      <c r="CF49" s="131">
        <f t="shared" si="58"/>
        <v>0.19505471899935531</v>
      </c>
      <c r="CG49" s="131">
        <f t="shared" si="58"/>
        <v>7.0539029784306095E-2</v>
      </c>
      <c r="CH49" s="131">
        <f t="shared" si="58"/>
        <v>0.10605074695823191</v>
      </c>
      <c r="CI49" s="131">
        <f t="shared" si="58"/>
        <v>0</v>
      </c>
      <c r="CJ49" s="131">
        <f t="shared" si="24"/>
        <v>9.5863504698988789E-3</v>
      </c>
      <c r="CK49" s="131">
        <f t="shared" si="24"/>
        <v>8.4333516918889018E-2</v>
      </c>
      <c r="CL49" s="131">
        <f t="shared" si="24"/>
        <v>4.9955969857154163E-2</v>
      </c>
      <c r="CM49" s="131">
        <f t="shared" si="24"/>
        <v>1.1111111111111112</v>
      </c>
      <c r="CN49" s="131">
        <f t="shared" si="26"/>
        <v>5.3150251458644354E-2</v>
      </c>
      <c r="CO49" s="131">
        <f t="shared" si="26"/>
        <v>0.17892823265792918</v>
      </c>
      <c r="CP49" s="131">
        <f t="shared" si="26"/>
        <v>7.2129430931534663E-2</v>
      </c>
      <c r="CQ49" s="131">
        <f t="shared" si="26"/>
        <v>0.27160726716520295</v>
      </c>
      <c r="CR49" s="131">
        <f t="shared" si="26"/>
        <v>3.0366509896263907E-2</v>
      </c>
      <c r="CS49" s="131">
        <f t="shared" si="26"/>
        <v>1.1111111111111112</v>
      </c>
      <c r="CT49" s="132">
        <f t="shared" si="27"/>
        <v>5.5271202808686217</v>
      </c>
      <c r="CU49" s="132">
        <f t="shared" si="27"/>
        <v>0.25544288806152121</v>
      </c>
      <c r="CV49" s="132">
        <f t="shared" si="27"/>
        <v>2.2279451639153796</v>
      </c>
      <c r="CW49" s="132">
        <f t="shared" si="27"/>
        <v>0.55851287520395043</v>
      </c>
      <c r="CX49" s="132">
        <f t="shared" si="27"/>
        <v>1.1301324959187411</v>
      </c>
      <c r="CY49" s="132">
        <f t="shared" si="27"/>
        <v>0.74849262002531514</v>
      </c>
      <c r="CZ49" s="132">
        <f t="shared" si="27"/>
        <v>2.7550612473413518</v>
      </c>
      <c r="DA49" s="132">
        <f t="shared" si="27"/>
        <v>0.50230106580739931</v>
      </c>
      <c r="DB49" s="132">
        <f t="shared" si="27"/>
        <v>3.0803877763369694</v>
      </c>
      <c r="DC49" s="132">
        <f t="shared" si="27"/>
        <v>4.1674090812056166</v>
      </c>
      <c r="DD49" s="132">
        <f t="shared" si="27"/>
        <v>1.9110764116378816</v>
      </c>
      <c r="DE49" s="132">
        <f t="shared" si="27"/>
        <v>1.9505471899935531</v>
      </c>
      <c r="DF49" s="132">
        <f t="shared" si="27"/>
        <v>0.70539029784306095</v>
      </c>
      <c r="DG49" s="132">
        <f t="shared" si="27"/>
        <v>1.0605074695823191</v>
      </c>
      <c r="DH49" s="132">
        <f t="shared" si="27"/>
        <v>0</v>
      </c>
      <c r="DI49" s="132">
        <f t="shared" si="27"/>
        <v>9.5863504698988772E-2</v>
      </c>
      <c r="DJ49" s="132">
        <f t="shared" si="57"/>
        <v>0.84333516918889018</v>
      </c>
      <c r="DK49" s="132">
        <f t="shared" si="57"/>
        <v>0.49955969857154159</v>
      </c>
      <c r="DL49" s="132">
        <f t="shared" si="57"/>
        <v>11.111111111111111</v>
      </c>
      <c r="DM49" s="132">
        <f t="shared" si="57"/>
        <v>0.5315025145864436</v>
      </c>
      <c r="DN49" s="132">
        <f t="shared" si="57"/>
        <v>1.7892823265792916</v>
      </c>
      <c r="DO49" s="132">
        <f t="shared" si="57"/>
        <v>0.72129430931534655</v>
      </c>
      <c r="DP49" s="132">
        <f t="shared" si="57"/>
        <v>2.7160726716520291</v>
      </c>
      <c r="DQ49" s="132">
        <f t="shared" si="57"/>
        <v>0.30366509896263905</v>
      </c>
      <c r="DR49" s="58"/>
    </row>
    <row r="50" spans="1:122" ht="110">
      <c r="A50" s="50">
        <v>2017</v>
      </c>
      <c r="B50" s="51" t="s">
        <v>233</v>
      </c>
      <c r="C50" s="52">
        <f>+VLOOKUP(B50,'Indice por pilar'!$B$9:$C$20,2,FALSE)</f>
        <v>0.1</v>
      </c>
      <c r="D50" s="52">
        <f>+VLOOKUP(B50,[1]PONDERACIÓN!$B$22:$E$33,4,FALSE)</f>
        <v>0.1111111111111111</v>
      </c>
      <c r="E50" s="53" t="s">
        <v>124</v>
      </c>
      <c r="F50" s="59" t="s">
        <v>241</v>
      </c>
      <c r="G50" s="60" t="s">
        <v>242</v>
      </c>
      <c r="H50" s="66" t="s">
        <v>362</v>
      </c>
      <c r="I50" s="60">
        <v>2017</v>
      </c>
      <c r="J50" s="60" t="s">
        <v>131</v>
      </c>
      <c r="K50" s="64">
        <v>0.80930000000000002</v>
      </c>
      <c r="L50" s="64">
        <v>7.8600000000000003E-2</v>
      </c>
      <c r="M50" s="64">
        <v>0.32769999999999999</v>
      </c>
      <c r="N50" s="64">
        <v>0.125</v>
      </c>
      <c r="O50" s="64">
        <v>0.27039999999999997</v>
      </c>
      <c r="P50" s="64">
        <v>0.30159999999999998</v>
      </c>
      <c r="Q50" s="64">
        <v>0.59399999999999997</v>
      </c>
      <c r="R50" s="64">
        <v>0.2407</v>
      </c>
      <c r="S50" s="64">
        <v>0.68969999999999998</v>
      </c>
      <c r="T50" s="64">
        <v>0.84699999999999998</v>
      </c>
      <c r="U50" s="64">
        <v>0.64319999999999999</v>
      </c>
      <c r="V50" s="64">
        <v>0.3795</v>
      </c>
      <c r="W50" s="64">
        <v>0.52900000000000003</v>
      </c>
      <c r="X50" s="64">
        <v>0.61380000000000001</v>
      </c>
      <c r="Y50" s="64">
        <v>0.15340000000000001</v>
      </c>
      <c r="Z50" s="64">
        <v>7.9000000000000008E-3</v>
      </c>
      <c r="AA50" s="64">
        <v>0.34329999999999999</v>
      </c>
      <c r="AB50" s="64">
        <v>0.90129999999999999</v>
      </c>
      <c r="AC50" s="64">
        <v>0.7571</v>
      </c>
      <c r="AD50" s="64">
        <v>0.3861</v>
      </c>
      <c r="AE50" s="64">
        <v>0.75080000000000002</v>
      </c>
      <c r="AF50" s="64">
        <v>0.29670000000000002</v>
      </c>
      <c r="AG50" s="64">
        <v>0.2364</v>
      </c>
      <c r="AH50" s="65">
        <v>0.59179999999999999</v>
      </c>
      <c r="AI50" s="124">
        <f t="shared" si="53"/>
        <v>0.45309583333333331</v>
      </c>
      <c r="AJ50" s="124">
        <f t="shared" si="54"/>
        <v>0.26153633462620479</v>
      </c>
      <c r="AK50" s="125">
        <f t="shared" si="2"/>
        <v>0.57722078947876321</v>
      </c>
      <c r="AL50" s="125" t="str">
        <f>+HLOOKUP(AN50,$K50:$AH$68,19,FALSE)</f>
        <v>Napo</v>
      </c>
      <c r="AM50" s="135">
        <f t="shared" si="55"/>
        <v>0.90129999999999999</v>
      </c>
      <c r="AN50" s="135">
        <f t="shared" si="56"/>
        <v>7.9000000000000008E-3</v>
      </c>
      <c r="AO50" s="124">
        <f t="shared" si="5"/>
        <v>114.08860759493669</v>
      </c>
      <c r="AP50" s="135">
        <f t="shared" si="28"/>
        <v>0.90129999999999999</v>
      </c>
      <c r="AQ50" s="139">
        <f>+HLOOKUP($AQ$3,$K$3:$AH$67,48,FALSE)</f>
        <v>0.84699999999999998</v>
      </c>
      <c r="AR50" s="128">
        <f t="shared" si="29"/>
        <v>89.702261025296622</v>
      </c>
      <c r="AS50" s="128">
        <f t="shared" si="30"/>
        <v>7.9135885381687938</v>
      </c>
      <c r="AT50" s="128">
        <f t="shared" si="31"/>
        <v>35.795836131631965</v>
      </c>
      <c r="AU50" s="128">
        <f t="shared" si="32"/>
        <v>13.107230803671369</v>
      </c>
      <c r="AV50" s="128">
        <f t="shared" si="33"/>
        <v>29.382135661517793</v>
      </c>
      <c r="AW50" s="128">
        <f t="shared" si="34"/>
        <v>32.874412357286765</v>
      </c>
      <c r="AX50" s="128">
        <f t="shared" si="35"/>
        <v>65.603313185583161</v>
      </c>
      <c r="AY50" s="128">
        <f t="shared" si="36"/>
        <v>26.057756883814641</v>
      </c>
      <c r="AZ50" s="128">
        <f t="shared" si="37"/>
        <v>76.315200358182224</v>
      </c>
      <c r="BA50" s="128">
        <f t="shared" si="38"/>
        <v>93.922095366017459</v>
      </c>
      <c r="BB50" s="128">
        <f t="shared" si="39"/>
        <v>71.110364898141938</v>
      </c>
      <c r="BC50" s="128">
        <f t="shared" si="40"/>
        <v>41.59391090217148</v>
      </c>
      <c r="BD50" s="128">
        <f t="shared" si="41"/>
        <v>58.327736736064473</v>
      </c>
      <c r="BE50" s="128">
        <f t="shared" si="42"/>
        <v>67.819565704051939</v>
      </c>
      <c r="BF50" s="128">
        <f t="shared" si="43"/>
        <v>16.286098052384155</v>
      </c>
      <c r="BG50" s="128">
        <f t="shared" si="44"/>
        <v>0</v>
      </c>
      <c r="BH50" s="128">
        <f t="shared" si="45"/>
        <v>37.541974479516455</v>
      </c>
      <c r="BI50" s="128">
        <f t="shared" si="46"/>
        <v>100</v>
      </c>
      <c r="BJ50" s="128">
        <f t="shared" si="47"/>
        <v>83.859413476606221</v>
      </c>
      <c r="BK50" s="128">
        <f t="shared" si="48"/>
        <v>42.33266174166107</v>
      </c>
      <c r="BL50" s="128">
        <f t="shared" si="49"/>
        <v>83.154242220729799</v>
      </c>
      <c r="BM50" s="128">
        <f t="shared" si="50"/>
        <v>32.325945824938444</v>
      </c>
      <c r="BN50" s="128">
        <f t="shared" si="51"/>
        <v>25.576449518692634</v>
      </c>
      <c r="BO50" s="128">
        <f t="shared" si="52"/>
        <v>65.35706290575331</v>
      </c>
      <c r="BP50" s="129">
        <f t="shared" si="6"/>
        <v>100</v>
      </c>
      <c r="BQ50" s="129">
        <f t="shared" si="7"/>
        <v>0</v>
      </c>
      <c r="BR50" s="129">
        <f t="shared" si="8"/>
        <v>49.83163569882845</v>
      </c>
      <c r="BS50" s="129">
        <f t="shared" si="9"/>
        <v>29.274270721536237</v>
      </c>
      <c r="BT50" s="130">
        <f t="shared" si="10"/>
        <v>0.58746357230702906</v>
      </c>
      <c r="BU50" s="131">
        <f t="shared" si="58"/>
        <v>0.99669178916996248</v>
      </c>
      <c r="BV50" s="131">
        <f t="shared" si="58"/>
        <v>8.7928761535208816E-2</v>
      </c>
      <c r="BW50" s="131">
        <f t="shared" si="58"/>
        <v>0.39773151257368849</v>
      </c>
      <c r="BX50" s="131">
        <f t="shared" si="58"/>
        <v>0.14563589781857078</v>
      </c>
      <c r="BY50" s="131">
        <f t="shared" si="58"/>
        <v>0.32646817401686434</v>
      </c>
      <c r="BZ50" s="131">
        <f t="shared" si="58"/>
        <v>0.36527124841429742</v>
      </c>
      <c r="CA50" s="131">
        <f t="shared" si="58"/>
        <v>0.72892570206203511</v>
      </c>
      <c r="CB50" s="131">
        <f t="shared" si="58"/>
        <v>0.28953063204238488</v>
      </c>
      <c r="CC50" s="131">
        <f t="shared" si="58"/>
        <v>0.84794667064646922</v>
      </c>
      <c r="CD50" s="131">
        <f t="shared" si="58"/>
        <v>1.043578837400194</v>
      </c>
      <c r="CE50" s="131">
        <f t="shared" si="58"/>
        <v>0.79011516553491035</v>
      </c>
      <c r="CF50" s="131">
        <f t="shared" si="58"/>
        <v>0.46215456557968304</v>
      </c>
      <c r="CG50" s="131">
        <f t="shared" si="58"/>
        <v>0.6480859637340497</v>
      </c>
      <c r="CH50" s="131">
        <f t="shared" si="58"/>
        <v>0.7535507300450216</v>
      </c>
      <c r="CI50" s="131">
        <f t="shared" si="58"/>
        <v>0.18095664502649059</v>
      </c>
      <c r="CJ50" s="131">
        <f t="shared" si="24"/>
        <v>0</v>
      </c>
      <c r="CK50" s="131">
        <f t="shared" si="24"/>
        <v>0.41713304977240506</v>
      </c>
      <c r="CL50" s="131">
        <f t="shared" si="24"/>
        <v>1.1111111111111112</v>
      </c>
      <c r="CM50" s="131">
        <f t="shared" si="24"/>
        <v>0.93177126085118023</v>
      </c>
      <c r="CN50" s="131">
        <f t="shared" si="26"/>
        <v>0.4703629082406785</v>
      </c>
      <c r="CO50" s="131">
        <f t="shared" si="26"/>
        <v>0.92393602467477554</v>
      </c>
      <c r="CP50" s="131">
        <f t="shared" si="26"/>
        <v>0.35917717583264935</v>
      </c>
      <c r="CQ50" s="131">
        <f t="shared" si="26"/>
        <v>0.28418277242991818</v>
      </c>
      <c r="CR50" s="131">
        <f t="shared" si="26"/>
        <v>0.7261895878417034</v>
      </c>
      <c r="CS50" s="131">
        <f t="shared" si="26"/>
        <v>1.1111111111111112</v>
      </c>
      <c r="CT50" s="132">
        <f t="shared" si="27"/>
        <v>9.9669178916996248</v>
      </c>
      <c r="CU50" s="132">
        <f t="shared" si="27"/>
        <v>0.8792876153520881</v>
      </c>
      <c r="CV50" s="132">
        <f t="shared" si="27"/>
        <v>3.9773151257368848</v>
      </c>
      <c r="CW50" s="132">
        <f t="shared" si="27"/>
        <v>1.4563589781857076</v>
      </c>
      <c r="CX50" s="132">
        <f t="shared" si="27"/>
        <v>3.2646817401686437</v>
      </c>
      <c r="CY50" s="132">
        <f t="shared" si="27"/>
        <v>3.6527124841429739</v>
      </c>
      <c r="CZ50" s="132">
        <f t="shared" si="27"/>
        <v>7.2892570206203509</v>
      </c>
      <c r="DA50" s="132">
        <f t="shared" si="27"/>
        <v>2.8953063204238489</v>
      </c>
      <c r="DB50" s="132">
        <f t="shared" si="27"/>
        <v>8.4794667064646916</v>
      </c>
      <c r="DC50" s="132">
        <f t="shared" ref="DC50:DI67" si="59">+BA50*$D50</f>
        <v>10.435788374001939</v>
      </c>
      <c r="DD50" s="132">
        <f t="shared" si="59"/>
        <v>7.9011516553491035</v>
      </c>
      <c r="DE50" s="132">
        <f t="shared" si="59"/>
        <v>4.6215456557968304</v>
      </c>
      <c r="DF50" s="132">
        <f t="shared" si="59"/>
        <v>6.4808596373404965</v>
      </c>
      <c r="DG50" s="132">
        <f t="shared" si="59"/>
        <v>7.5355073004502149</v>
      </c>
      <c r="DH50" s="132">
        <f t="shared" si="59"/>
        <v>1.809566450264906</v>
      </c>
      <c r="DI50" s="132">
        <f t="shared" si="59"/>
        <v>0</v>
      </c>
      <c r="DJ50" s="132">
        <f t="shared" si="57"/>
        <v>4.1713304977240506</v>
      </c>
      <c r="DK50" s="132">
        <f t="shared" si="57"/>
        <v>11.111111111111111</v>
      </c>
      <c r="DL50" s="132">
        <f t="shared" si="57"/>
        <v>9.3177126085118012</v>
      </c>
      <c r="DM50" s="132">
        <f t="shared" si="57"/>
        <v>4.7036290824067857</v>
      </c>
      <c r="DN50" s="132">
        <f t="shared" si="57"/>
        <v>9.2393602467477542</v>
      </c>
      <c r="DO50" s="132">
        <f t="shared" si="57"/>
        <v>3.5917717583264936</v>
      </c>
      <c r="DP50" s="132">
        <f t="shared" si="57"/>
        <v>2.8418277242991814</v>
      </c>
      <c r="DQ50" s="132">
        <f t="shared" si="57"/>
        <v>7.2618958784170342</v>
      </c>
      <c r="DR50" s="96"/>
    </row>
    <row r="51" spans="1:122" ht="165">
      <c r="A51" s="50">
        <v>2017</v>
      </c>
      <c r="B51" s="51" t="s">
        <v>233</v>
      </c>
      <c r="C51" s="52">
        <f>+VLOOKUP(B51,'Indice por pilar'!$B$9:$C$20,2,FALSE)</f>
        <v>0.1</v>
      </c>
      <c r="D51" s="52">
        <f>+VLOOKUP(B51,[1]PONDERACIÓN!$B$22:$E$33,4,FALSE)</f>
        <v>0.1111111111111111</v>
      </c>
      <c r="E51" s="67" t="s">
        <v>124</v>
      </c>
      <c r="F51" s="59" t="s">
        <v>243</v>
      </c>
      <c r="G51" s="60" t="s">
        <v>244</v>
      </c>
      <c r="H51" s="66" t="s">
        <v>363</v>
      </c>
      <c r="I51" s="60">
        <v>2017</v>
      </c>
      <c r="J51" s="60" t="s">
        <v>240</v>
      </c>
      <c r="K51" s="97">
        <v>107.11572514453181</v>
      </c>
      <c r="L51" s="97">
        <v>1.3613517678514058</v>
      </c>
      <c r="M51" s="97">
        <v>5.9950973426175924</v>
      </c>
      <c r="N51" s="97">
        <v>0.60781405752352236</v>
      </c>
      <c r="O51" s="97">
        <v>6.5637259284619294</v>
      </c>
      <c r="P51" s="97">
        <v>9.5306753338791079</v>
      </c>
      <c r="Q51" s="97">
        <v>37.708583405892526</v>
      </c>
      <c r="R51" s="97">
        <v>2.9021217318364627</v>
      </c>
      <c r="S51" s="97">
        <v>7.960515841426524</v>
      </c>
      <c r="T51" s="97">
        <v>137.87473429446797</v>
      </c>
      <c r="U51" s="97">
        <v>58.833278090818695</v>
      </c>
      <c r="V51" s="97">
        <v>13.185853717207985</v>
      </c>
      <c r="W51" s="97">
        <v>14.072470007646684</v>
      </c>
      <c r="X51" s="97">
        <v>28.712639985983152</v>
      </c>
      <c r="Y51" s="97">
        <v>1.8250642152223875</v>
      </c>
      <c r="Z51" s="97">
        <v>9.6434805249910799E-2</v>
      </c>
      <c r="AA51" s="97">
        <v>9.2378075603390126</v>
      </c>
      <c r="AB51" s="97">
        <v>101.15210942060929</v>
      </c>
      <c r="AC51" s="97">
        <v>190.029294096504</v>
      </c>
      <c r="AD51" s="97">
        <v>5.0535645447094684</v>
      </c>
      <c r="AE51" s="97">
        <v>42.580017553727721</v>
      </c>
      <c r="AF51" s="97">
        <v>10.369917040663674</v>
      </c>
      <c r="AG51" s="97">
        <v>76.419538510017176</v>
      </c>
      <c r="AH51" s="97">
        <v>5.9096480476273854</v>
      </c>
      <c r="AI51" s="124">
        <f t="shared" si="53"/>
        <v>36.462415935200646</v>
      </c>
      <c r="AJ51" s="124">
        <f t="shared" si="54"/>
        <v>50.712778523657811</v>
      </c>
      <c r="AK51" s="125">
        <f t="shared" si="2"/>
        <v>1.3908233237693921</v>
      </c>
      <c r="AL51" s="125" t="str">
        <f>+HLOOKUP(AN51,$K51:$AH$68,18,FALSE)</f>
        <v>Napo</v>
      </c>
      <c r="AM51" s="133">
        <f t="shared" si="55"/>
        <v>190.029294096504</v>
      </c>
      <c r="AN51" s="133">
        <f t="shared" si="56"/>
        <v>9.6434805249910799E-2</v>
      </c>
      <c r="AO51" s="124">
        <f t="shared" si="5"/>
        <v>1970.5467709925176</v>
      </c>
      <c r="AP51" s="133">
        <f t="shared" si="28"/>
        <v>190.029294096504</v>
      </c>
      <c r="AQ51" s="127">
        <f>+HLOOKUP($AQ$3,$K$3:$AH$67,49,FALSE)</f>
        <v>137.87473429446797</v>
      </c>
      <c r="AR51" s="134">
        <f t="shared" si="29"/>
        <v>56.345853339243575</v>
      </c>
      <c r="AS51" s="134">
        <f t="shared" si="30"/>
        <v>0.66598110896745766</v>
      </c>
      <c r="AT51" s="134">
        <f t="shared" si="31"/>
        <v>3.1056566827766909</v>
      </c>
      <c r="AU51" s="134">
        <f t="shared" si="32"/>
        <v>0.26924211754714483</v>
      </c>
      <c r="AV51" s="134">
        <f t="shared" si="33"/>
        <v>3.4050406798197561</v>
      </c>
      <c r="AW51" s="134">
        <f t="shared" si="34"/>
        <v>4.9671450026254718</v>
      </c>
      <c r="AX51" s="134">
        <f t="shared" si="35"/>
        <v>19.802865465720156</v>
      </c>
      <c r="AY51" s="134">
        <f t="shared" si="36"/>
        <v>1.4771993308878422</v>
      </c>
      <c r="AZ51" s="134">
        <f t="shared" si="37"/>
        <v>4.140453139873693</v>
      </c>
      <c r="BA51" s="134">
        <f t="shared" si="38"/>
        <v>72.540528270540477</v>
      </c>
      <c r="BB51" s="134">
        <f t="shared" si="39"/>
        <v>30.92505609863867</v>
      </c>
      <c r="BC51" s="134">
        <f t="shared" si="40"/>
        <v>6.891603149029625</v>
      </c>
      <c r="BD51" s="134">
        <f t="shared" si="41"/>
        <v>7.3584082578176249</v>
      </c>
      <c r="BE51" s="134">
        <f t="shared" si="42"/>
        <v>15.066484697548562</v>
      </c>
      <c r="BF51" s="134">
        <f t="shared" si="43"/>
        <v>0.91012656599967034</v>
      </c>
      <c r="BG51" s="134">
        <f t="shared" si="44"/>
        <v>0</v>
      </c>
      <c r="BH51" s="134">
        <f t="shared" si="45"/>
        <v>4.812949580815391</v>
      </c>
      <c r="BI51" s="134">
        <f t="shared" si="46"/>
        <v>53.205998684195407</v>
      </c>
      <c r="BJ51" s="134">
        <f t="shared" si="47"/>
        <v>100</v>
      </c>
      <c r="BK51" s="134">
        <f t="shared" si="48"/>
        <v>2.6099379317288154</v>
      </c>
      <c r="BL51" s="134">
        <f t="shared" si="49"/>
        <v>22.367684510730719</v>
      </c>
      <c r="BM51" s="134">
        <f t="shared" si="50"/>
        <v>5.4090073059237254</v>
      </c>
      <c r="BN51" s="134">
        <f t="shared" si="51"/>
        <v>40.18425457794482</v>
      </c>
      <c r="BO51" s="134">
        <f t="shared" si="52"/>
        <v>3.0606674716896434</v>
      </c>
      <c r="BP51" s="129">
        <f t="shared" si="6"/>
        <v>100</v>
      </c>
      <c r="BQ51" s="129">
        <f t="shared" si="7"/>
        <v>0</v>
      </c>
      <c r="BR51" s="129">
        <f t="shared" si="8"/>
        <v>19.14675599875271</v>
      </c>
      <c r="BS51" s="129">
        <f t="shared" si="9"/>
        <v>26.700371232705919</v>
      </c>
      <c r="BT51" s="130">
        <f t="shared" si="10"/>
        <v>1.3945114898025168</v>
      </c>
      <c r="BU51" s="131">
        <f t="shared" si="58"/>
        <v>0.62606503710270645</v>
      </c>
      <c r="BV51" s="131">
        <f t="shared" si="58"/>
        <v>7.399790099638418E-3</v>
      </c>
      <c r="BW51" s="131">
        <f t="shared" si="58"/>
        <v>3.4507296475296566E-2</v>
      </c>
      <c r="BX51" s="131">
        <f t="shared" si="58"/>
        <v>2.991579083857165E-3</v>
      </c>
      <c r="BY51" s="131">
        <f t="shared" si="58"/>
        <v>3.7833785331330624E-2</v>
      </c>
      <c r="BZ51" s="131">
        <f t="shared" si="58"/>
        <v>5.5190500029171911E-2</v>
      </c>
      <c r="CA51" s="131">
        <f t="shared" si="58"/>
        <v>0.22003183850800173</v>
      </c>
      <c r="CB51" s="131">
        <f t="shared" si="58"/>
        <v>1.6413325898753803E-2</v>
      </c>
      <c r="CC51" s="131">
        <f t="shared" si="58"/>
        <v>4.6005034887485481E-2</v>
      </c>
      <c r="CD51" s="131">
        <f t="shared" si="58"/>
        <v>0.80600586967267196</v>
      </c>
      <c r="CE51" s="131">
        <f t="shared" si="58"/>
        <v>0.34361173442931853</v>
      </c>
      <c r="CF51" s="131">
        <f t="shared" si="58"/>
        <v>7.6573368322551391E-2</v>
      </c>
      <c r="CG51" s="131">
        <f t="shared" si="58"/>
        <v>8.1760091753529177E-2</v>
      </c>
      <c r="CH51" s="131">
        <f t="shared" si="58"/>
        <v>0.16740538552831735</v>
      </c>
      <c r="CI51" s="131">
        <f t="shared" si="58"/>
        <v>1.0112517399996338E-2</v>
      </c>
      <c r="CJ51" s="131">
        <f t="shared" si="58"/>
        <v>0</v>
      </c>
      <c r="CK51" s="131">
        <f t="shared" ref="CK51:CS67" si="60">+BH51*$C51*$D51</f>
        <v>5.3477217564615452E-2</v>
      </c>
      <c r="CL51" s="131">
        <f t="shared" si="60"/>
        <v>0.59117776315772674</v>
      </c>
      <c r="CM51" s="131">
        <f t="shared" si="60"/>
        <v>1.1111111111111112</v>
      </c>
      <c r="CN51" s="131">
        <f t="shared" si="26"/>
        <v>2.8999310352542395E-2</v>
      </c>
      <c r="CO51" s="131">
        <f t="shared" si="26"/>
        <v>0.24852982789700798</v>
      </c>
      <c r="CP51" s="131">
        <f t="shared" si="26"/>
        <v>6.0100081176930276E-2</v>
      </c>
      <c r="CQ51" s="131">
        <f t="shared" si="26"/>
        <v>0.44649171753272021</v>
      </c>
      <c r="CR51" s="131">
        <f t="shared" si="26"/>
        <v>3.4007416352107148E-2</v>
      </c>
      <c r="CS51" s="131">
        <f t="shared" si="26"/>
        <v>1.1111111111111112</v>
      </c>
      <c r="CT51" s="132">
        <f t="shared" ref="CT51:DB67" si="61">+AR51*$D51</f>
        <v>6.2606503710270633</v>
      </c>
      <c r="CU51" s="132">
        <f t="shared" si="61"/>
        <v>7.3997900996384175E-2</v>
      </c>
      <c r="CV51" s="132">
        <f t="shared" si="61"/>
        <v>0.34507296475296562</v>
      </c>
      <c r="CW51" s="132">
        <f t="shared" si="61"/>
        <v>2.9915790838571647E-2</v>
      </c>
      <c r="CX51" s="132">
        <f t="shared" si="61"/>
        <v>0.37833785331330622</v>
      </c>
      <c r="CY51" s="132">
        <f t="shared" si="61"/>
        <v>0.55190500029171907</v>
      </c>
      <c r="CZ51" s="132">
        <f t="shared" si="61"/>
        <v>2.2003183850800174</v>
      </c>
      <c r="DA51" s="132">
        <f t="shared" si="61"/>
        <v>0.164133258987538</v>
      </c>
      <c r="DB51" s="132">
        <f t="shared" si="61"/>
        <v>0.46005034887485474</v>
      </c>
      <c r="DC51" s="132">
        <f t="shared" si="59"/>
        <v>8.0600586967267187</v>
      </c>
      <c r="DD51" s="132">
        <f t="shared" si="59"/>
        <v>3.4361173442931854</v>
      </c>
      <c r="DE51" s="132">
        <f t="shared" si="59"/>
        <v>0.76573368322551383</v>
      </c>
      <c r="DF51" s="132">
        <f t="shared" si="59"/>
        <v>0.81760091753529163</v>
      </c>
      <c r="DG51" s="132">
        <f t="shared" si="59"/>
        <v>1.6740538552831734</v>
      </c>
      <c r="DH51" s="132">
        <f t="shared" si="59"/>
        <v>0.10112517399996336</v>
      </c>
      <c r="DI51" s="132">
        <f t="shared" si="59"/>
        <v>0</v>
      </c>
      <c r="DJ51" s="132">
        <f t="shared" si="57"/>
        <v>0.53477217564615454</v>
      </c>
      <c r="DK51" s="132">
        <f t="shared" si="57"/>
        <v>5.9117776315772668</v>
      </c>
      <c r="DL51" s="132">
        <f t="shared" si="57"/>
        <v>11.111111111111111</v>
      </c>
      <c r="DM51" s="132">
        <f t="shared" si="57"/>
        <v>0.2899931035254239</v>
      </c>
      <c r="DN51" s="132">
        <f t="shared" si="57"/>
        <v>2.4852982789700797</v>
      </c>
      <c r="DO51" s="132">
        <f t="shared" si="57"/>
        <v>0.60100081176930276</v>
      </c>
      <c r="DP51" s="132">
        <f t="shared" si="57"/>
        <v>4.4649171753272023</v>
      </c>
      <c r="DQ51" s="132">
        <f t="shared" si="57"/>
        <v>0.34007416352107145</v>
      </c>
      <c r="DR51" s="96"/>
    </row>
    <row r="52" spans="1:122" ht="165">
      <c r="A52" s="50">
        <v>2017</v>
      </c>
      <c r="B52" s="51" t="s">
        <v>233</v>
      </c>
      <c r="C52" s="52">
        <f>+VLOOKUP(B52,'Indice por pilar'!$B$9:$C$20,2,FALSE)</f>
        <v>0.1</v>
      </c>
      <c r="D52" s="52">
        <f>+VLOOKUP(B52,[1]PONDERACIÓN!$B$22:$E$33,4,FALSE)</f>
        <v>0.1111111111111111</v>
      </c>
      <c r="E52" s="67" t="s">
        <v>119</v>
      </c>
      <c r="F52" s="59" t="s">
        <v>245</v>
      </c>
      <c r="G52" s="60" t="s">
        <v>246</v>
      </c>
      <c r="H52" s="66" t="s">
        <v>364</v>
      </c>
      <c r="I52" s="60">
        <v>2017</v>
      </c>
      <c r="J52" s="60" t="s">
        <v>131</v>
      </c>
      <c r="K52" s="98">
        <v>1.4200000000000001E-2</v>
      </c>
      <c r="L52" s="98">
        <v>2.1299999999999999E-2</v>
      </c>
      <c r="M52" s="98">
        <v>1.4800000000000001E-2</v>
      </c>
      <c r="N52" s="98">
        <v>3.1099999999999999E-2</v>
      </c>
      <c r="O52" s="98">
        <v>1.6899999999999998E-2</v>
      </c>
      <c r="P52" s="98">
        <v>1.3599999999999999E-2</v>
      </c>
      <c r="Q52" s="98">
        <v>1.38E-2</v>
      </c>
      <c r="R52" s="98">
        <v>2.1700000000000001E-2</v>
      </c>
      <c r="S52" s="98">
        <v>5.4999999999999997E-3</v>
      </c>
      <c r="T52" s="92"/>
      <c r="U52" s="98">
        <v>2.6100000000000002E-2</v>
      </c>
      <c r="V52" s="98">
        <v>3.0800000000000001E-2</v>
      </c>
      <c r="W52" s="98">
        <v>1.9E-2</v>
      </c>
      <c r="X52" s="98">
        <v>1.6299999999999999E-2</v>
      </c>
      <c r="Y52" s="98">
        <v>2.3099999999999999E-2</v>
      </c>
      <c r="Z52" s="98">
        <v>2.9100000000000001E-2</v>
      </c>
      <c r="AA52" s="98">
        <v>2.4500000000000001E-2</v>
      </c>
      <c r="AB52" s="98">
        <v>3.9899999999999998E-2</v>
      </c>
      <c r="AC52" s="98">
        <v>1.14E-2</v>
      </c>
      <c r="AD52" s="98">
        <v>2.8500000000000001E-2</v>
      </c>
      <c r="AE52" s="98">
        <v>1.09E-2</v>
      </c>
      <c r="AF52" s="98">
        <v>3.1199999999999999E-2</v>
      </c>
      <c r="AG52" s="98">
        <v>2.5700000000000001E-2</v>
      </c>
      <c r="AH52" s="98">
        <v>1.7500000000000002E-2</v>
      </c>
      <c r="AI52" s="124">
        <f t="shared" si="53"/>
        <v>2.1169565217391308E-2</v>
      </c>
      <c r="AJ52" s="124">
        <f t="shared" si="54"/>
        <v>8.3303625798318206E-3</v>
      </c>
      <c r="AK52" s="125">
        <f t="shared" si="2"/>
        <v>0.39350655028985798</v>
      </c>
      <c r="AL52" s="125" t="str">
        <f>+HLOOKUP(AN52,$K52:$AH$68,17,FALSE)</f>
        <v>Galápagos</v>
      </c>
      <c r="AM52" s="135">
        <f t="shared" si="55"/>
        <v>3.9899999999999998E-2</v>
      </c>
      <c r="AN52" s="144">
        <f t="shared" si="56"/>
        <v>5.4999999999999997E-3</v>
      </c>
      <c r="AO52" s="124">
        <f t="shared" si="5"/>
        <v>7.2545454545454549</v>
      </c>
      <c r="AP52" s="135">
        <f>+AN52</f>
        <v>5.4999999999999997E-3</v>
      </c>
      <c r="AQ52" s="139">
        <f>+HLOOKUP($AQ$3,$K$3:$AH$67,50,FALSE)</f>
        <v>0</v>
      </c>
      <c r="AR52" s="134">
        <f>100-(((K52-$AN52)/($AM52-$AN52))*100)</f>
        <v>74.70930232558139</v>
      </c>
      <c r="AS52" s="134">
        <f>100-(((L52-$AN52)/($AM52-$AN52))*100)</f>
        <v>54.069767441860463</v>
      </c>
      <c r="AT52" s="134">
        <f>100-(((M52-$AN52)/($AM52-$AN52))*100)</f>
        <v>72.965116279069761</v>
      </c>
      <c r="AU52" s="134">
        <f>100-(((N52-$AN52)/($AM52-$AN52))*100)</f>
        <v>25.581395348837205</v>
      </c>
      <c r="AV52" s="134">
        <f>100-(((O52-$AN52)/($AM52-$AN52))*100)</f>
        <v>66.860465116279073</v>
      </c>
      <c r="AW52" s="134">
        <f>100-(((P52-$AN52)/($AM52-$AN52))*100)</f>
        <v>76.453488372093034</v>
      </c>
      <c r="AX52" s="134">
        <f>100-(((Q52-$AN52)/($AM52-$AN52))*100)</f>
        <v>75.872093023255815</v>
      </c>
      <c r="AY52" s="134">
        <f>100-(((R52-$AN52)/($AM52-$AN52))*100)</f>
        <v>52.906976744186053</v>
      </c>
      <c r="AZ52" s="134">
        <f>100-(((S52-$AN52)/($AM52-$AN52))*100)</f>
        <v>100</v>
      </c>
      <c r="BA52" s="134">
        <f>100-(((T52-$AN52)/($AM52-$AN52))*100)</f>
        <v>115.98837209302326</v>
      </c>
      <c r="BB52" s="134">
        <f>100-(((U52-$AN52)/($AM52-$AN52))*100)</f>
        <v>40.116279069767444</v>
      </c>
      <c r="BC52" s="134">
        <f>100-(((V52-$AN52)/($AM52-$AN52))*100)</f>
        <v>26.45348837209302</v>
      </c>
      <c r="BD52" s="134">
        <f>100-(((W52-$AN52)/($AM52-$AN52))*100)</f>
        <v>60.755813953488378</v>
      </c>
      <c r="BE52" s="134">
        <f>100-(((X52-$AN52)/($AM52-$AN52))*100)</f>
        <v>68.604651162790702</v>
      </c>
      <c r="BF52" s="134">
        <f>100-(((Y52-$AN52)/($AM52-$AN52))*100)</f>
        <v>48.83720930232559</v>
      </c>
      <c r="BG52" s="134">
        <f>100-(((Z52-$AN52)/($AM52-$AN52))*100)</f>
        <v>31.395348837209298</v>
      </c>
      <c r="BH52" s="134">
        <f>100-(((AA52-$AN52)/($AM52-$AN52))*100)</f>
        <v>44.767441860465105</v>
      </c>
      <c r="BI52" s="134">
        <f>100-(((AB52-$AN52)/($AM52-$AN52))*100)</f>
        <v>0</v>
      </c>
      <c r="BJ52" s="134">
        <f>100-(((AC52-$AN52)/($AM52-$AN52))*100)</f>
        <v>82.848837209302332</v>
      </c>
      <c r="BK52" s="134">
        <f>100-(((AD52-$AN52)/($AM52-$AN52))*100)</f>
        <v>33.139534883720927</v>
      </c>
      <c r="BL52" s="134">
        <f>100-(((AE52-$AN52)/($AM52-$AN52))*100)</f>
        <v>84.302325581395351</v>
      </c>
      <c r="BM52" s="134">
        <f>100-(((AF52-$AN52)/($AM52-$AN52))*100)</f>
        <v>25.29069767441861</v>
      </c>
      <c r="BN52" s="134">
        <f>100-(((AG52-$AN52)/($AM52-$AN52))*100)</f>
        <v>41.279069767441854</v>
      </c>
      <c r="BO52" s="134">
        <f>100-(((AH52-$AN52)/($AM52-$AN52))*100)</f>
        <v>65.116279069767444</v>
      </c>
      <c r="BP52" s="129">
        <f t="shared" si="6"/>
        <v>115.98837209302326</v>
      </c>
      <c r="BQ52" s="129">
        <f t="shared" si="7"/>
        <v>0</v>
      </c>
      <c r="BR52" s="129">
        <f t="shared" si="8"/>
        <v>57.013081395348827</v>
      </c>
      <c r="BS52" s="129">
        <f t="shared" si="9"/>
        <v>26.808994170176106</v>
      </c>
      <c r="BT52" s="130">
        <f t="shared" si="10"/>
        <v>0.47022531520920752</v>
      </c>
      <c r="BU52" s="131">
        <f t="shared" si="58"/>
        <v>0.8301033591731265</v>
      </c>
      <c r="BV52" s="131">
        <f t="shared" si="58"/>
        <v>0.60077519379844957</v>
      </c>
      <c r="BW52" s="131">
        <f t="shared" si="58"/>
        <v>0.81072351421188626</v>
      </c>
      <c r="BX52" s="131">
        <f t="shared" si="58"/>
        <v>0.28423772609819115</v>
      </c>
      <c r="BY52" s="131">
        <f t="shared" si="58"/>
        <v>0.74289405684754517</v>
      </c>
      <c r="BZ52" s="131">
        <f t="shared" si="58"/>
        <v>0.84948320413436706</v>
      </c>
      <c r="CA52" s="131">
        <f t="shared" si="58"/>
        <v>0.84302325581395354</v>
      </c>
      <c r="CB52" s="131">
        <f t="shared" si="58"/>
        <v>0.58785529715762286</v>
      </c>
      <c r="CC52" s="131">
        <f t="shared" si="58"/>
        <v>1.1111111111111112</v>
      </c>
      <c r="CD52" s="131">
        <f t="shared" si="58"/>
        <v>1.2887596899224807</v>
      </c>
      <c r="CE52" s="131">
        <f t="shared" si="58"/>
        <v>0.44573643410852709</v>
      </c>
      <c r="CF52" s="131">
        <f t="shared" si="58"/>
        <v>0.29392764857881132</v>
      </c>
      <c r="CG52" s="131">
        <f t="shared" si="58"/>
        <v>0.67506459948320419</v>
      </c>
      <c r="CH52" s="131">
        <f t="shared" si="58"/>
        <v>0.76227390180878551</v>
      </c>
      <c r="CI52" s="131">
        <f t="shared" si="58"/>
        <v>0.54263565891472887</v>
      </c>
      <c r="CJ52" s="131">
        <f t="shared" si="58"/>
        <v>0.34883720930232553</v>
      </c>
      <c r="CK52" s="131">
        <f t="shared" si="60"/>
        <v>0.49741602067183449</v>
      </c>
      <c r="CL52" s="131">
        <f t="shared" si="60"/>
        <v>0</v>
      </c>
      <c r="CM52" s="131">
        <f t="shared" si="60"/>
        <v>0.92054263565891481</v>
      </c>
      <c r="CN52" s="131">
        <f t="shared" si="26"/>
        <v>0.36821705426356582</v>
      </c>
      <c r="CO52" s="131">
        <f t="shared" si="26"/>
        <v>0.93669250645994828</v>
      </c>
      <c r="CP52" s="131">
        <f t="shared" si="26"/>
        <v>0.28100775193798455</v>
      </c>
      <c r="CQ52" s="131">
        <f t="shared" si="26"/>
        <v>0.45865633074935391</v>
      </c>
      <c r="CR52" s="131">
        <f t="shared" si="26"/>
        <v>0.72351421188630494</v>
      </c>
      <c r="CS52" s="131">
        <f t="shared" si="26"/>
        <v>1.2887596899224807</v>
      </c>
      <c r="CT52" s="132">
        <f t="shared" si="61"/>
        <v>8.3010335917312652</v>
      </c>
      <c r="CU52" s="132">
        <f t="shared" si="61"/>
        <v>6.0077519379844952</v>
      </c>
      <c r="CV52" s="132">
        <f t="shared" si="61"/>
        <v>8.1072351421188618</v>
      </c>
      <c r="CW52" s="132">
        <f t="shared" si="61"/>
        <v>2.8423772609819116</v>
      </c>
      <c r="CX52" s="132">
        <f t="shared" si="61"/>
        <v>7.4289405684754524</v>
      </c>
      <c r="CY52" s="132">
        <f t="shared" si="61"/>
        <v>8.4948320413436704</v>
      </c>
      <c r="CZ52" s="132">
        <f t="shared" si="61"/>
        <v>8.4302325581395348</v>
      </c>
      <c r="DA52" s="132">
        <f t="shared" si="61"/>
        <v>5.8785529715762275</v>
      </c>
      <c r="DB52" s="132">
        <f t="shared" si="61"/>
        <v>11.111111111111111</v>
      </c>
      <c r="DC52" s="132">
        <f t="shared" si="59"/>
        <v>12.887596899224805</v>
      </c>
      <c r="DD52" s="132">
        <f t="shared" si="59"/>
        <v>4.4573643410852712</v>
      </c>
      <c r="DE52" s="132">
        <f t="shared" si="59"/>
        <v>2.9392764857881133</v>
      </c>
      <c r="DF52" s="132">
        <f t="shared" si="59"/>
        <v>6.7506459948320412</v>
      </c>
      <c r="DG52" s="132">
        <f t="shared" si="59"/>
        <v>7.6227390180878558</v>
      </c>
      <c r="DH52" s="132">
        <f t="shared" si="59"/>
        <v>5.4263565891472876</v>
      </c>
      <c r="DI52" s="132">
        <f t="shared" si="59"/>
        <v>3.4883720930232549</v>
      </c>
      <c r="DJ52" s="132">
        <f t="shared" si="57"/>
        <v>4.974160206718345</v>
      </c>
      <c r="DK52" s="132">
        <f t="shared" si="57"/>
        <v>0</v>
      </c>
      <c r="DL52" s="132">
        <f t="shared" si="57"/>
        <v>9.2054263565891468</v>
      </c>
      <c r="DM52" s="132">
        <f t="shared" si="57"/>
        <v>3.6821705426356584</v>
      </c>
      <c r="DN52" s="132">
        <f t="shared" si="57"/>
        <v>9.3669250645994833</v>
      </c>
      <c r="DO52" s="132">
        <f t="shared" si="57"/>
        <v>2.8100775193798455</v>
      </c>
      <c r="DP52" s="132">
        <f t="shared" si="57"/>
        <v>4.586563307493539</v>
      </c>
      <c r="DQ52" s="132">
        <f t="shared" si="57"/>
        <v>7.2351421188630489</v>
      </c>
      <c r="DR52" s="58"/>
    </row>
    <row r="53" spans="1:122" ht="110">
      <c r="A53" s="50">
        <v>2017</v>
      </c>
      <c r="B53" s="51" t="s">
        <v>233</v>
      </c>
      <c r="C53" s="52">
        <f>+VLOOKUP(B53,'Indice por pilar'!$B$9:$C$20,2,FALSE)</f>
        <v>0.1</v>
      </c>
      <c r="D53" s="52">
        <f>+VLOOKUP(B53,[1]PONDERACIÓN!$B$22:$E$33,4,FALSE)</f>
        <v>0.1111111111111111</v>
      </c>
      <c r="E53" s="67" t="s">
        <v>124</v>
      </c>
      <c r="F53" s="59" t="s">
        <v>247</v>
      </c>
      <c r="G53" s="60" t="s">
        <v>248</v>
      </c>
      <c r="H53" s="66" t="s">
        <v>362</v>
      </c>
      <c r="I53" s="60">
        <v>2017</v>
      </c>
      <c r="J53" s="60" t="s">
        <v>131</v>
      </c>
      <c r="K53" s="64">
        <v>3.3399999999999999E-2</v>
      </c>
      <c r="L53" s="64">
        <v>0.55659999999999998</v>
      </c>
      <c r="M53" s="64">
        <v>0.10680000000000001</v>
      </c>
      <c r="N53" s="64">
        <v>0.71250000000000002</v>
      </c>
      <c r="O53" s="64">
        <v>0.24979999999999999</v>
      </c>
      <c r="P53" s="64">
        <v>0.31859999999999999</v>
      </c>
      <c r="Q53" s="64">
        <v>0.1067</v>
      </c>
      <c r="R53" s="64">
        <v>0.2702</v>
      </c>
      <c r="S53" s="98">
        <v>0.34499999999999997</v>
      </c>
      <c r="T53" s="64">
        <v>3.44E-2</v>
      </c>
      <c r="U53" s="64">
        <v>0.16059999999999999</v>
      </c>
      <c r="V53" s="64">
        <v>0.17119999999999999</v>
      </c>
      <c r="W53" s="64">
        <v>0.1749</v>
      </c>
      <c r="X53" s="64">
        <v>0.1598</v>
      </c>
      <c r="Y53" s="64">
        <v>0.38069999999999998</v>
      </c>
      <c r="Z53" s="64">
        <v>0.40160000000000001</v>
      </c>
      <c r="AA53" s="64">
        <v>0.25340000000000001</v>
      </c>
      <c r="AB53" s="64">
        <v>1.9099999999999999E-2</v>
      </c>
      <c r="AC53" s="64">
        <v>6.6000000000000003E-2</v>
      </c>
      <c r="AD53" s="64">
        <v>0.2848</v>
      </c>
      <c r="AE53" s="64">
        <v>7.6899999999999996E-2</v>
      </c>
      <c r="AF53" s="64">
        <v>0.20880000000000001</v>
      </c>
      <c r="AG53" s="64">
        <v>0.29089999999999999</v>
      </c>
      <c r="AH53" s="65">
        <v>0.1888</v>
      </c>
      <c r="AI53" s="124">
        <f t="shared" si="53"/>
        <v>0.2321458333333333</v>
      </c>
      <c r="AJ53" s="124">
        <f t="shared" si="54"/>
        <v>0.16711802644984997</v>
      </c>
      <c r="AK53" s="125">
        <f t="shared" si="2"/>
        <v>0.71988380773515204</v>
      </c>
      <c r="AL53" s="125" t="str">
        <f>+HLOOKUP(AN53,$K53:$AH$68,16,FALSE)</f>
        <v>Pastaza</v>
      </c>
      <c r="AM53" s="135">
        <f t="shared" si="55"/>
        <v>0.71250000000000002</v>
      </c>
      <c r="AN53" s="135">
        <f t="shared" si="56"/>
        <v>1.9099999999999999E-2</v>
      </c>
      <c r="AO53" s="124">
        <f t="shared" si="5"/>
        <v>37.303664921465973</v>
      </c>
      <c r="AP53" s="135">
        <f>+AM53</f>
        <v>0.71250000000000002</v>
      </c>
      <c r="AQ53" s="139">
        <f>+HLOOKUP($AQ$3,$K$3:$AH$67,51,FALSE)</f>
        <v>3.44E-2</v>
      </c>
      <c r="AR53" s="134">
        <f>(((K53-$AN53)/($AM53-$AN53))*100)</f>
        <v>2.0623017017594463</v>
      </c>
      <c r="AS53" s="134">
        <f>(((L53-$AN53)/($AM53-$AN53))*100)</f>
        <v>77.516584943755404</v>
      </c>
      <c r="AT53" s="134">
        <f>(((M53-$AN53)/($AM53-$AN53))*100)</f>
        <v>12.647822324776465</v>
      </c>
      <c r="AU53" s="134">
        <f>(((N53-$AN53)/($AM53-$AN53))*100)</f>
        <v>100</v>
      </c>
      <c r="AV53" s="134">
        <f>(((O53-$AN53)/($AM53-$AN53))*100)</f>
        <v>33.27083934237092</v>
      </c>
      <c r="AW53" s="134">
        <f>(((P53-$AN53)/($AM53-$AN53))*100)</f>
        <v>43.192962215171619</v>
      </c>
      <c r="AX53" s="134">
        <f>(((Q53-$AN53)/($AM53-$AN53))*100)</f>
        <v>12.63340063455437</v>
      </c>
      <c r="AY53" s="134">
        <f>(((R53-$AN53)/($AM53-$AN53))*100)</f>
        <v>36.212864147678104</v>
      </c>
      <c r="AZ53" s="134">
        <f>(((S53-$AN53)/($AM53-$AN53))*100)</f>
        <v>47.000288433804435</v>
      </c>
      <c r="BA53" s="134">
        <f>(((T53-$AN53)/($AM53-$AN53))*100)</f>
        <v>2.2065186039803866</v>
      </c>
      <c r="BB53" s="134">
        <f>(((U53-$AN53)/($AM53-$AN53))*100)</f>
        <v>20.40669166426305</v>
      </c>
      <c r="BC53" s="134">
        <f>(((V53-$AN53)/($AM53-$AN53))*100)</f>
        <v>21.935390827805016</v>
      </c>
      <c r="BD53" s="134">
        <f>(((W53-$AN53)/($AM53-$AN53))*100)</f>
        <v>22.468993366022495</v>
      </c>
      <c r="BE53" s="134">
        <f>(((X53-$AN53)/($AM53-$AN53))*100)</f>
        <v>20.291318142486297</v>
      </c>
      <c r="BF53" s="134">
        <f>(((Y53-$AN53)/($AM53-$AN53))*100)</f>
        <v>52.148831843092005</v>
      </c>
      <c r="BG53" s="134">
        <f>(((Z53-$AN53)/($AM53-$AN53))*100)</f>
        <v>55.162965099509663</v>
      </c>
      <c r="BH53" s="134">
        <f>(((AA53-$AN53)/($AM53-$AN53))*100)</f>
        <v>33.790020190366313</v>
      </c>
      <c r="BI53" s="134">
        <f>(((AB53-$AN53)/($AM53-$AN53))*100)</f>
        <v>0</v>
      </c>
      <c r="BJ53" s="134">
        <f>(((AC53-$AN53)/($AM53-$AN53))*100)</f>
        <v>6.7637727141621005</v>
      </c>
      <c r="BK53" s="134">
        <f>(((AD53-$AN53)/($AM53-$AN53))*100)</f>
        <v>38.318430920103836</v>
      </c>
      <c r="BL53" s="134">
        <f>(((AE53-$AN53)/($AM53-$AN53))*100)</f>
        <v>8.3357369483703483</v>
      </c>
      <c r="BM53" s="134">
        <f>(((AF53-$AN53)/($AM53-$AN53))*100)</f>
        <v>27.357946351312375</v>
      </c>
      <c r="BN53" s="134">
        <f>(((AG53-$AN53)/($AM53-$AN53))*100)</f>
        <v>39.198154023651568</v>
      </c>
      <c r="BO53" s="134">
        <f>(((AH53-$AN53)/($AM53-$AN53))*100)</f>
        <v>24.473608306893567</v>
      </c>
      <c r="BP53" s="129">
        <f t="shared" si="6"/>
        <v>100</v>
      </c>
      <c r="BQ53" s="129">
        <f t="shared" si="7"/>
        <v>0</v>
      </c>
      <c r="BR53" s="129">
        <f t="shared" si="8"/>
        <v>30.72481011441208</v>
      </c>
      <c r="BS53" s="129">
        <f t="shared" si="9"/>
        <v>24.101244079874533</v>
      </c>
      <c r="BT53" s="130">
        <f t="shared" si="10"/>
        <v>0.7844228813824099</v>
      </c>
      <c r="BU53" s="131">
        <f t="shared" si="58"/>
        <v>2.2914463352882736E-2</v>
      </c>
      <c r="BV53" s="131">
        <f t="shared" si="58"/>
        <v>0.86129538826394891</v>
      </c>
      <c r="BW53" s="131">
        <f t="shared" si="58"/>
        <v>0.14053135916418294</v>
      </c>
      <c r="BX53" s="131">
        <f t="shared" si="58"/>
        <v>1.1111111111111112</v>
      </c>
      <c r="BY53" s="131">
        <f t="shared" si="58"/>
        <v>0.36967599269301021</v>
      </c>
      <c r="BZ53" s="131">
        <f t="shared" si="58"/>
        <v>0.47992180239079579</v>
      </c>
      <c r="CA53" s="131">
        <f t="shared" si="58"/>
        <v>0.14037111816171521</v>
      </c>
      <c r="CB53" s="131">
        <f t="shared" si="58"/>
        <v>0.40236515719642341</v>
      </c>
      <c r="CC53" s="131">
        <f t="shared" si="58"/>
        <v>0.52222542704227148</v>
      </c>
      <c r="CD53" s="131">
        <f t="shared" si="58"/>
        <v>2.4516873377559849E-2</v>
      </c>
      <c r="CE53" s="131">
        <f t="shared" si="58"/>
        <v>0.22674101849181166</v>
      </c>
      <c r="CF53" s="131">
        <f t="shared" si="58"/>
        <v>0.24372656475338905</v>
      </c>
      <c r="CG53" s="131">
        <f t="shared" si="58"/>
        <v>0.24965548184469438</v>
      </c>
      <c r="CH53" s="131">
        <f t="shared" ref="CH53:CJ67" si="62">+BE53*$C53*$D53</f>
        <v>0.22545909047206997</v>
      </c>
      <c r="CI53" s="131">
        <f t="shared" si="62"/>
        <v>0.57943146492324449</v>
      </c>
      <c r="CJ53" s="131">
        <f t="shared" si="62"/>
        <v>0.61292183443899628</v>
      </c>
      <c r="CK53" s="131">
        <f t="shared" si="60"/>
        <v>0.37544466878184796</v>
      </c>
      <c r="CL53" s="131">
        <f t="shared" si="60"/>
        <v>0</v>
      </c>
      <c r="CM53" s="131">
        <f t="shared" si="60"/>
        <v>7.5153030157356665E-2</v>
      </c>
      <c r="CN53" s="131">
        <f t="shared" si="26"/>
        <v>0.42576034355670928</v>
      </c>
      <c r="CO53" s="131">
        <f t="shared" si="26"/>
        <v>9.2619299426337204E-2</v>
      </c>
      <c r="CP53" s="131">
        <f t="shared" si="26"/>
        <v>0.3039771816812486</v>
      </c>
      <c r="CQ53" s="131">
        <f t="shared" si="26"/>
        <v>0.43553504470723964</v>
      </c>
      <c r="CR53" s="131">
        <f t="shared" si="26"/>
        <v>0.27192898118770631</v>
      </c>
      <c r="CS53" s="131">
        <f t="shared" si="26"/>
        <v>1.1111111111111112</v>
      </c>
      <c r="CT53" s="132">
        <f t="shared" si="61"/>
        <v>0.22914463352882736</v>
      </c>
      <c r="CU53" s="132">
        <f t="shared" si="61"/>
        <v>8.6129538826394896</v>
      </c>
      <c r="CV53" s="132">
        <f t="shared" si="61"/>
        <v>1.4053135916418293</v>
      </c>
      <c r="CW53" s="132">
        <f t="shared" si="61"/>
        <v>11.111111111111111</v>
      </c>
      <c r="CX53" s="132">
        <f t="shared" si="61"/>
        <v>3.6967599269301021</v>
      </c>
      <c r="CY53" s="132">
        <f t="shared" si="61"/>
        <v>4.7992180239079572</v>
      </c>
      <c r="CZ53" s="132">
        <f t="shared" si="61"/>
        <v>1.4037111816171521</v>
      </c>
      <c r="DA53" s="132">
        <f t="shared" si="61"/>
        <v>4.0236515719642334</v>
      </c>
      <c r="DB53" s="132">
        <f t="shared" si="61"/>
        <v>5.2222542704227148</v>
      </c>
      <c r="DC53" s="132">
        <f t="shared" si="59"/>
        <v>0.2451687337755985</v>
      </c>
      <c r="DD53" s="132">
        <f t="shared" si="59"/>
        <v>2.2674101849181167</v>
      </c>
      <c r="DE53" s="132">
        <f t="shared" si="59"/>
        <v>2.4372656475338905</v>
      </c>
      <c r="DF53" s="132">
        <f t="shared" si="59"/>
        <v>2.4965548184469437</v>
      </c>
      <c r="DG53" s="132">
        <f t="shared" si="59"/>
        <v>2.2545909047206996</v>
      </c>
      <c r="DH53" s="132">
        <f t="shared" si="59"/>
        <v>5.7943146492324447</v>
      </c>
      <c r="DI53" s="132">
        <f t="shared" si="59"/>
        <v>6.1292183443899626</v>
      </c>
      <c r="DJ53" s="132">
        <f t="shared" si="57"/>
        <v>3.7544466878184792</v>
      </c>
      <c r="DK53" s="132">
        <f t="shared" si="57"/>
        <v>0</v>
      </c>
      <c r="DL53" s="132">
        <f t="shared" si="57"/>
        <v>0.75153030157356671</v>
      </c>
      <c r="DM53" s="132">
        <f t="shared" si="57"/>
        <v>4.2576034355670931</v>
      </c>
      <c r="DN53" s="132">
        <f t="shared" si="57"/>
        <v>0.92619299426337198</v>
      </c>
      <c r="DO53" s="132">
        <f t="shared" si="57"/>
        <v>3.0397718168124861</v>
      </c>
      <c r="DP53" s="132">
        <f t="shared" si="57"/>
        <v>4.3553504470723965</v>
      </c>
      <c r="DQ53" s="132">
        <f t="shared" si="57"/>
        <v>2.7192898118770628</v>
      </c>
      <c r="DR53" s="99"/>
    </row>
    <row r="54" spans="1:122" ht="165">
      <c r="A54" s="50">
        <v>2017</v>
      </c>
      <c r="B54" s="51" t="s">
        <v>233</v>
      </c>
      <c r="C54" s="52">
        <f>+VLOOKUP(B54,'Indice por pilar'!$B$9:$C$20,2,FALSE)</f>
        <v>0.1</v>
      </c>
      <c r="D54" s="52">
        <f>+VLOOKUP(B54,[1]PONDERACIÓN!$B$22:$E$33,4,FALSE)</f>
        <v>0.1111111111111111</v>
      </c>
      <c r="E54" s="53" t="s">
        <v>124</v>
      </c>
      <c r="F54" s="59" t="s">
        <v>249</v>
      </c>
      <c r="G54" s="60" t="s">
        <v>250</v>
      </c>
      <c r="H54" s="66" t="s">
        <v>363</v>
      </c>
      <c r="I54" s="60">
        <v>2017</v>
      </c>
      <c r="J54" s="60" t="s">
        <v>240</v>
      </c>
      <c r="K54" s="62">
        <v>4.42</v>
      </c>
      <c r="L54" s="62">
        <v>9.6999999999999993</v>
      </c>
      <c r="M54" s="62">
        <v>1.99</v>
      </c>
      <c r="N54" s="62">
        <v>3.46</v>
      </c>
      <c r="O54" s="62">
        <v>6.16</v>
      </c>
      <c r="P54" s="62">
        <v>10.9</v>
      </c>
      <c r="Q54" s="62">
        <v>6.89</v>
      </c>
      <c r="R54" s="62">
        <v>3.62</v>
      </c>
      <c r="S54" s="98">
        <v>0.13780000000000001</v>
      </c>
      <c r="T54" s="62">
        <v>6.01</v>
      </c>
      <c r="U54" s="62">
        <v>16.87</v>
      </c>
      <c r="V54" s="62">
        <v>6.26</v>
      </c>
      <c r="W54" s="62">
        <v>5.27</v>
      </c>
      <c r="X54" s="62">
        <v>8.32</v>
      </c>
      <c r="Y54" s="62">
        <v>4.76</v>
      </c>
      <c r="Z54" s="62">
        <v>4.9800000000000004</v>
      </c>
      <c r="AA54" s="62">
        <v>7.28</v>
      </c>
      <c r="AB54" s="62">
        <v>2.4900000000000002</v>
      </c>
      <c r="AC54" s="62">
        <v>16.86</v>
      </c>
      <c r="AD54" s="62">
        <v>8.07</v>
      </c>
      <c r="AE54" s="62">
        <v>8.9700000000000006</v>
      </c>
      <c r="AF54" s="62">
        <v>4.32</v>
      </c>
      <c r="AG54" s="62">
        <v>16.28</v>
      </c>
      <c r="AH54" s="63">
        <v>13.59</v>
      </c>
      <c r="AI54" s="124">
        <f t="shared" si="53"/>
        <v>7.4003249999999996</v>
      </c>
      <c r="AJ54" s="124">
        <f t="shared" si="54"/>
        <v>4.6360798953285487</v>
      </c>
      <c r="AK54" s="125">
        <f t="shared" si="2"/>
        <v>0.62646976927750453</v>
      </c>
      <c r="AL54" s="125" t="str">
        <f>+HLOOKUP(AN54,$K54:$AH$68,15,FALSE)</f>
        <v>Galápagos</v>
      </c>
      <c r="AM54" s="133">
        <f t="shared" si="55"/>
        <v>16.87</v>
      </c>
      <c r="AN54" s="133">
        <f t="shared" si="56"/>
        <v>0.13780000000000001</v>
      </c>
      <c r="AO54" s="124">
        <f t="shared" si="5"/>
        <v>122.42380261248186</v>
      </c>
      <c r="AP54" s="133">
        <f>+AM54</f>
        <v>16.87</v>
      </c>
      <c r="AQ54" s="127">
        <f>+HLOOKUP($AQ$3,$K$3:$AH$67,52,FALSE)</f>
        <v>6.01</v>
      </c>
      <c r="AR54" s="134">
        <f>(((K54-$AN54)/($AM54-$AN54))*100)</f>
        <v>25.592570014702186</v>
      </c>
      <c r="AS54" s="134">
        <f>(((L54-$AN54)/($AM54-$AN54))*100)</f>
        <v>57.148492128948959</v>
      </c>
      <c r="AT54" s="134">
        <f>(((M54-$AN54)/($AM54-$AN54))*100)</f>
        <v>11.06967404166816</v>
      </c>
      <c r="AU54" s="134">
        <f>(((N54-$AN54)/($AM54-$AN54))*100)</f>
        <v>19.855129630293682</v>
      </c>
      <c r="AV54" s="134">
        <f>(((O54-$AN54)/($AM54-$AN54))*100)</f>
        <v>35.991680711442605</v>
      </c>
      <c r="AW54" s="134">
        <f>(((P54-$AN54)/($AM54-$AN54))*100)</f>
        <v>64.320292609459599</v>
      </c>
      <c r="AX54" s="134">
        <f>(((Q54-$AN54)/($AM54-$AN54))*100)</f>
        <v>40.354526003753236</v>
      </c>
      <c r="AY54" s="134">
        <f>(((R54-$AN54)/($AM54-$AN54))*100)</f>
        <v>20.811369694361765</v>
      </c>
      <c r="AZ54" s="134">
        <f>(((S54-$AN54)/($AM54-$AN54))*100)</f>
        <v>0</v>
      </c>
      <c r="BA54" s="134">
        <f>(((T54-$AN54)/($AM54-$AN54))*100)</f>
        <v>35.09520565137877</v>
      </c>
      <c r="BB54" s="134">
        <f>(((U54-$AN54)/($AM54-$AN54))*100)</f>
        <v>100</v>
      </c>
      <c r="BC54" s="134">
        <f>(((V54-$AN54)/($AM54-$AN54))*100)</f>
        <v>36.58933075148515</v>
      </c>
      <c r="BD54" s="134">
        <f>(((W54-$AN54)/($AM54-$AN54))*100)</f>
        <v>30.67259535506388</v>
      </c>
      <c r="BE54" s="134">
        <f>(((X54-$AN54)/($AM54-$AN54))*100)</f>
        <v>48.900921576361739</v>
      </c>
      <c r="BF54" s="134">
        <f>(((Y54-$AN54)/($AM54-$AN54))*100)</f>
        <v>27.62458015084686</v>
      </c>
      <c r="BG54" s="134">
        <f>(((Z54-$AN54)/($AM54-$AN54))*100)</f>
        <v>28.939410238940482</v>
      </c>
      <c r="BH54" s="134">
        <f>(((AA54-$AN54)/($AM54-$AN54))*100)</f>
        <v>42.685361159919189</v>
      </c>
      <c r="BI54" s="134">
        <f>(((AB54-$AN54)/($AM54-$AN54))*100)</f>
        <v>14.057924241880922</v>
      </c>
      <c r="BJ54" s="134">
        <f>(((AC54-$AN54)/($AM54-$AN54))*100)</f>
        <v>99.940234995995738</v>
      </c>
      <c r="BK54" s="134">
        <f>(((AD54-$AN54)/($AM54-$AN54))*100)</f>
        <v>47.406796476255359</v>
      </c>
      <c r="BL54" s="134">
        <f>(((AE54-$AN54)/($AM54-$AN54))*100)</f>
        <v>52.785646836638335</v>
      </c>
      <c r="BM54" s="134">
        <f>(((AF54-$AN54)/($AM54-$AN54))*100)</f>
        <v>24.994919974659634</v>
      </c>
      <c r="BN54" s="134">
        <f>(((AG54-$AN54)/($AM54-$AN54))*100)</f>
        <v>96.473864763748935</v>
      </c>
      <c r="BO54" s="134">
        <f>(((AH54-$AN54)/($AM54-$AN54))*100)</f>
        <v>80.39707868660426</v>
      </c>
      <c r="BP54" s="129">
        <f t="shared" si="6"/>
        <v>100</v>
      </c>
      <c r="BQ54" s="129">
        <f t="shared" si="7"/>
        <v>0</v>
      </c>
      <c r="BR54" s="129">
        <f t="shared" si="8"/>
        <v>43.404483570600398</v>
      </c>
      <c r="BS54" s="129">
        <f t="shared" si="9"/>
        <v>27.70753335083581</v>
      </c>
      <c r="BT54" s="130">
        <f t="shared" si="10"/>
        <v>0.63835648005735601</v>
      </c>
      <c r="BU54" s="131">
        <f t="shared" ref="BU54:CG67" si="63">+AR54*$C54*$D54</f>
        <v>0.28436188905224652</v>
      </c>
      <c r="BV54" s="131">
        <f t="shared" si="63"/>
        <v>0.63498324587721067</v>
      </c>
      <c r="BW54" s="131">
        <f t="shared" si="63"/>
        <v>0.12299637824075733</v>
      </c>
      <c r="BX54" s="131">
        <f t="shared" si="63"/>
        <v>0.22061255144770756</v>
      </c>
      <c r="BY54" s="131">
        <f t="shared" si="63"/>
        <v>0.3999075634604734</v>
      </c>
      <c r="BZ54" s="131">
        <f t="shared" si="63"/>
        <v>0.71466991788288436</v>
      </c>
      <c r="CA54" s="131">
        <f t="shared" si="63"/>
        <v>0.44838362226392486</v>
      </c>
      <c r="CB54" s="131">
        <f t="shared" si="63"/>
        <v>0.23123744104846405</v>
      </c>
      <c r="CC54" s="131">
        <f t="shared" si="63"/>
        <v>0</v>
      </c>
      <c r="CD54" s="131">
        <f t="shared" si="63"/>
        <v>0.38994672945976411</v>
      </c>
      <c r="CE54" s="131">
        <f t="shared" si="63"/>
        <v>1.1111111111111112</v>
      </c>
      <c r="CF54" s="131">
        <f t="shared" si="63"/>
        <v>0.4065481194609461</v>
      </c>
      <c r="CG54" s="131">
        <f t="shared" si="63"/>
        <v>0.34080661505626531</v>
      </c>
      <c r="CH54" s="131">
        <f t="shared" si="62"/>
        <v>0.54334357307068604</v>
      </c>
      <c r="CI54" s="131">
        <f t="shared" si="62"/>
        <v>0.30693977945385398</v>
      </c>
      <c r="CJ54" s="131">
        <f t="shared" si="62"/>
        <v>0.32154900265489422</v>
      </c>
      <c r="CK54" s="131">
        <f t="shared" si="60"/>
        <v>0.47428179066576881</v>
      </c>
      <c r="CL54" s="131">
        <f t="shared" si="60"/>
        <v>0.15619915824312136</v>
      </c>
      <c r="CM54" s="131">
        <f t="shared" si="60"/>
        <v>1.1104470555110637</v>
      </c>
      <c r="CN54" s="131">
        <f t="shared" si="26"/>
        <v>0.52674218306950404</v>
      </c>
      <c r="CO54" s="131">
        <f t="shared" si="26"/>
        <v>0.58650718707375937</v>
      </c>
      <c r="CP54" s="131">
        <f t="shared" si="26"/>
        <v>0.27772133305177371</v>
      </c>
      <c r="CQ54" s="131">
        <f t="shared" si="26"/>
        <v>1.0719318307083214</v>
      </c>
      <c r="CR54" s="131">
        <f t="shared" si="26"/>
        <v>0.89330087429560301</v>
      </c>
      <c r="CS54" s="131">
        <f t="shared" si="26"/>
        <v>1.1111111111111112</v>
      </c>
      <c r="CT54" s="132">
        <f t="shared" si="61"/>
        <v>2.8436188905224649</v>
      </c>
      <c r="CU54" s="132">
        <f t="shared" si="61"/>
        <v>6.3498324587721058</v>
      </c>
      <c r="CV54" s="132">
        <f t="shared" si="61"/>
        <v>1.2299637824075733</v>
      </c>
      <c r="CW54" s="132">
        <f t="shared" si="61"/>
        <v>2.2061255144770757</v>
      </c>
      <c r="CX54" s="132">
        <f t="shared" si="61"/>
        <v>3.9990756346047336</v>
      </c>
      <c r="CY54" s="132">
        <f t="shared" si="61"/>
        <v>7.1466991788288441</v>
      </c>
      <c r="CZ54" s="132">
        <f t="shared" si="61"/>
        <v>4.4838362226392485</v>
      </c>
      <c r="DA54" s="132">
        <f t="shared" si="61"/>
        <v>2.3123744104846407</v>
      </c>
      <c r="DB54" s="132">
        <f t="shared" si="61"/>
        <v>0</v>
      </c>
      <c r="DC54" s="132">
        <f t="shared" si="59"/>
        <v>3.899467294597641</v>
      </c>
      <c r="DD54" s="132">
        <f t="shared" si="59"/>
        <v>11.111111111111111</v>
      </c>
      <c r="DE54" s="132">
        <f t="shared" si="59"/>
        <v>4.0654811946094611</v>
      </c>
      <c r="DF54" s="132">
        <f t="shared" si="59"/>
        <v>3.4080661505626533</v>
      </c>
      <c r="DG54" s="132">
        <f t="shared" si="59"/>
        <v>5.4334357307068597</v>
      </c>
      <c r="DH54" s="132">
        <f t="shared" si="59"/>
        <v>3.0693977945385398</v>
      </c>
      <c r="DI54" s="132">
        <f t="shared" si="59"/>
        <v>3.2154900265489421</v>
      </c>
      <c r="DJ54" s="132">
        <f t="shared" si="57"/>
        <v>4.7428179066576872</v>
      </c>
      <c r="DK54" s="132">
        <f t="shared" si="57"/>
        <v>1.5619915824312134</v>
      </c>
      <c r="DL54" s="132">
        <f t="shared" si="57"/>
        <v>11.104470555110638</v>
      </c>
      <c r="DM54" s="132">
        <f t="shared" si="57"/>
        <v>5.2674218306950396</v>
      </c>
      <c r="DN54" s="132">
        <f t="shared" si="57"/>
        <v>5.8650718707375926</v>
      </c>
      <c r="DO54" s="132">
        <f t="shared" si="57"/>
        <v>2.7772133305177369</v>
      </c>
      <c r="DP54" s="132">
        <f t="shared" si="57"/>
        <v>10.719318307083215</v>
      </c>
      <c r="DQ54" s="132">
        <f t="shared" si="57"/>
        <v>8.9330087429560283</v>
      </c>
      <c r="DR54" s="58"/>
    </row>
    <row r="55" spans="1:122" ht="42">
      <c r="A55" s="50">
        <v>2017</v>
      </c>
      <c r="B55" s="51" t="s">
        <v>233</v>
      </c>
      <c r="C55" s="52">
        <f>+VLOOKUP(B55,'Indice por pilar'!$B$9:$C$20,2,FALSE)</f>
        <v>0.1</v>
      </c>
      <c r="D55" s="52">
        <f>+VLOOKUP(B55,[1]PONDERACIÓN!$B$22:$E$33,4,FALSE)</f>
        <v>0.1111111111111111</v>
      </c>
      <c r="E55" s="67" t="s">
        <v>124</v>
      </c>
      <c r="F55" s="59" t="s">
        <v>251</v>
      </c>
      <c r="G55" s="60" t="s">
        <v>252</v>
      </c>
      <c r="H55" s="60" t="s">
        <v>253</v>
      </c>
      <c r="I55" s="60">
        <v>2017</v>
      </c>
      <c r="J55" s="60" t="s">
        <v>177</v>
      </c>
      <c r="K55" s="78">
        <v>130.59468000000001</v>
      </c>
      <c r="L55" s="78">
        <v>38.117849999999997</v>
      </c>
      <c r="M55" s="78">
        <v>111.02032</v>
      </c>
      <c r="N55" s="78">
        <v>72.937690000000003</v>
      </c>
      <c r="O55" s="78">
        <v>61.057920000000003</v>
      </c>
      <c r="P55" s="78">
        <v>58.650309999999998</v>
      </c>
      <c r="Q55" s="78">
        <v>111.54415</v>
      </c>
      <c r="R55" s="78">
        <v>48.680750000000003</v>
      </c>
      <c r="S55" s="78">
        <v>278.61804999999998</v>
      </c>
      <c r="T55" s="78">
        <v>93.814729999999997</v>
      </c>
      <c r="U55" s="78">
        <v>123.04015</v>
      </c>
      <c r="V55" s="78">
        <v>77.956909999999993</v>
      </c>
      <c r="W55" s="78">
        <v>59.117229999999999</v>
      </c>
      <c r="X55" s="78">
        <v>59.133580000000002</v>
      </c>
      <c r="Y55" s="78">
        <v>33.797485467081252</v>
      </c>
      <c r="Z55" s="78">
        <v>28.930440000000001</v>
      </c>
      <c r="AA55" s="78">
        <v>51.321150000000003</v>
      </c>
      <c r="AB55" s="78">
        <v>71.485590000000002</v>
      </c>
      <c r="AC55" s="78">
        <v>122.26899</v>
      </c>
      <c r="AD55" s="100">
        <v>39.666350000000001</v>
      </c>
      <c r="AE55" s="78">
        <v>99.091729999999998</v>
      </c>
      <c r="AF55" s="78">
        <v>76.606549999999999</v>
      </c>
      <c r="AG55" s="78">
        <v>84.226079999999996</v>
      </c>
      <c r="AH55" s="79">
        <v>95.105339999999998</v>
      </c>
      <c r="AI55" s="124">
        <f t="shared" si="53"/>
        <v>84.449334394461729</v>
      </c>
      <c r="AJ55" s="124">
        <f t="shared" si="54"/>
        <v>50.940226506966908</v>
      </c>
      <c r="AK55" s="125">
        <f t="shared" si="2"/>
        <v>0.60320459447348374</v>
      </c>
      <c r="AL55" s="125" t="str">
        <f>+HLOOKUP(AN55,$K55:$AH$68,14,FALSE)</f>
        <v>Napo</v>
      </c>
      <c r="AM55" s="141">
        <f t="shared" si="55"/>
        <v>278.61804999999998</v>
      </c>
      <c r="AN55" s="141">
        <f t="shared" si="56"/>
        <v>28.930440000000001</v>
      </c>
      <c r="AO55" s="124">
        <f t="shared" si="5"/>
        <v>9.6306191679075734</v>
      </c>
      <c r="AP55" s="141">
        <f>+AM55</f>
        <v>278.61804999999998</v>
      </c>
      <c r="AQ55" s="127">
        <f>+HLOOKUP($AQ$3,$K$3:$AH$67,53,FALSE)</f>
        <v>93.814729999999997</v>
      </c>
      <c r="AR55" s="134">
        <f>(((K55-$AN55)/($AM55-$AN55))*100)</f>
        <v>40.716573801959981</v>
      </c>
      <c r="AS55" s="134">
        <f>(((L55-$AN55)/($AM55-$AN55))*100)</f>
        <v>3.6795618332843976</v>
      </c>
      <c r="AT55" s="134">
        <f>(((M55-$AN55)/($AM55-$AN55))*100)</f>
        <v>32.8770338263881</v>
      </c>
      <c r="AU55" s="134">
        <f>(((N55-$AN55)/($AM55-$AN55))*100)</f>
        <v>17.62492339928281</v>
      </c>
      <c r="AV55" s="134">
        <f>(((O55-$AN55)/($AM55-$AN55))*100)</f>
        <v>12.867070176209388</v>
      </c>
      <c r="AW55" s="134">
        <f>(((P55-$AN55)/($AM55-$AN55))*100)</f>
        <v>11.902821289370346</v>
      </c>
      <c r="AX55" s="134">
        <f>(((Q55-$AN55)/($AM55-$AN55))*100)</f>
        <v>33.086827976766656</v>
      </c>
      <c r="AY55" s="134">
        <f>(((R55-$AN55)/($AM55-$AN55))*100)</f>
        <v>7.9100080296335102</v>
      </c>
      <c r="AZ55" s="134">
        <f>(((S55-$AN55)/($AM55-$AN55))*100)</f>
        <v>100</v>
      </c>
      <c r="BA55" s="134">
        <f>(((T55-$AN55)/($AM55-$AN55))*100)</f>
        <v>25.98618730020284</v>
      </c>
      <c r="BB55" s="134">
        <f>(((U55-$AN55)/($AM55-$AN55))*100)</f>
        <v>37.690981142396289</v>
      </c>
      <c r="BC55" s="134">
        <f>(((V55-$AN55)/($AM55-$AN55))*100)</f>
        <v>19.635123264626543</v>
      </c>
      <c r="BD55" s="134">
        <f>(((W55-$AN55)/($AM55-$AN55))*100)</f>
        <v>12.089822959176869</v>
      </c>
      <c r="BE55" s="134">
        <f>(((X55-$AN55)/($AM55-$AN55))*100)</f>
        <v>12.096371141523605</v>
      </c>
      <c r="BF55" s="134">
        <f>(((Y55-$AN55)/($AM55-$AN55))*100)</f>
        <v>1.9492538965314505</v>
      </c>
      <c r="BG55" s="134">
        <f>(((Z55-$AN55)/($AM55-$AN55))*100)</f>
        <v>0</v>
      </c>
      <c r="BH55" s="134">
        <f>(((AA55-$AN55)/($AM55-$AN55))*100)</f>
        <v>8.967489416074752</v>
      </c>
      <c r="BI55" s="134">
        <f>(((AB55-$AN55)/($AM55-$AN55))*100)</f>
        <v>17.043356696794046</v>
      </c>
      <c r="BJ55" s="134">
        <f>(((AC55-$AN55)/($AM55-$AN55))*100)</f>
        <v>37.382131215882119</v>
      </c>
      <c r="BK55" s="134">
        <f>(((AD55-$AN55)/($AM55-$AN55))*100)</f>
        <v>4.2997367790896801</v>
      </c>
      <c r="BL55" s="134">
        <f>(((AE55-$AN55)/($AM55-$AN55))*100)</f>
        <v>28.099628171377827</v>
      </c>
      <c r="BM55" s="134">
        <f>(((AF55-$AN55)/($AM55-$AN55))*100)</f>
        <v>19.094303477853785</v>
      </c>
      <c r="BN55" s="134">
        <f>(((AG55-$AN55)/($AM55-$AN55))*100)</f>
        <v>22.145928666624666</v>
      </c>
      <c r="BO55" s="134">
        <f>(((AH55-$AN55)/($AM55-$AN55))*100)</f>
        <v>26.503077185127449</v>
      </c>
      <c r="BP55" s="129">
        <f t="shared" si="6"/>
        <v>100</v>
      </c>
      <c r="BQ55" s="129">
        <f t="shared" si="7"/>
        <v>0</v>
      </c>
      <c r="BR55" s="129">
        <f t="shared" si="8"/>
        <v>22.235342151924044</v>
      </c>
      <c r="BS55" s="129">
        <f t="shared" si="9"/>
        <v>20.401583605596983</v>
      </c>
      <c r="BT55" s="130">
        <f t="shared" si="10"/>
        <v>0.91752955570470573</v>
      </c>
      <c r="BU55" s="131">
        <f t="shared" si="63"/>
        <v>0.4524063755773331</v>
      </c>
      <c r="BV55" s="131">
        <f t="shared" si="63"/>
        <v>4.0884020369826642E-2</v>
      </c>
      <c r="BW55" s="131">
        <f t="shared" si="63"/>
        <v>0.36530037584875663</v>
      </c>
      <c r="BX55" s="131">
        <f t="shared" si="63"/>
        <v>0.19583248221425342</v>
      </c>
      <c r="BY55" s="131">
        <f t="shared" si="63"/>
        <v>0.14296744640232653</v>
      </c>
      <c r="BZ55" s="131">
        <f t="shared" si="63"/>
        <v>0.13225356988189274</v>
      </c>
      <c r="CA55" s="131">
        <f t="shared" si="63"/>
        <v>0.36763142196407395</v>
      </c>
      <c r="CB55" s="131">
        <f t="shared" si="63"/>
        <v>8.7888978107039009E-2</v>
      </c>
      <c r="CC55" s="131">
        <f t="shared" si="63"/>
        <v>1.1111111111111112</v>
      </c>
      <c r="CD55" s="131">
        <f t="shared" si="63"/>
        <v>0.28873541444669826</v>
      </c>
      <c r="CE55" s="131">
        <f t="shared" si="63"/>
        <v>0.41878867935995873</v>
      </c>
      <c r="CF55" s="131">
        <f t="shared" si="63"/>
        <v>0.21816803627362824</v>
      </c>
      <c r="CG55" s="131">
        <f t="shared" si="63"/>
        <v>0.13433136621307634</v>
      </c>
      <c r="CH55" s="131">
        <f t="shared" si="62"/>
        <v>0.13440412379470673</v>
      </c>
      <c r="CI55" s="131">
        <f t="shared" si="62"/>
        <v>2.1658376628127227E-2</v>
      </c>
      <c r="CJ55" s="131">
        <f t="shared" si="62"/>
        <v>0</v>
      </c>
      <c r="CK55" s="131">
        <f t="shared" si="60"/>
        <v>9.9638771289719458E-2</v>
      </c>
      <c r="CL55" s="131">
        <f t="shared" si="60"/>
        <v>0.18937062996437828</v>
      </c>
      <c r="CM55" s="131">
        <f t="shared" si="60"/>
        <v>0.41535701350980131</v>
      </c>
      <c r="CN55" s="131">
        <f t="shared" si="26"/>
        <v>4.7774853100996446E-2</v>
      </c>
      <c r="CO55" s="131">
        <f t="shared" si="26"/>
        <v>0.31221809079308699</v>
      </c>
      <c r="CP55" s="131">
        <f t="shared" si="26"/>
        <v>0.21215892753170873</v>
      </c>
      <c r="CQ55" s="131">
        <f t="shared" si="26"/>
        <v>0.24606587407360742</v>
      </c>
      <c r="CR55" s="131">
        <f t="shared" si="26"/>
        <v>0.294478635390305</v>
      </c>
      <c r="CS55" s="131">
        <f t="shared" si="26"/>
        <v>1.1111111111111112</v>
      </c>
      <c r="CT55" s="132">
        <f t="shared" si="61"/>
        <v>4.524063755773331</v>
      </c>
      <c r="CU55" s="132">
        <f t="shared" si="61"/>
        <v>0.40884020369826635</v>
      </c>
      <c r="CV55" s="132">
        <f t="shared" si="61"/>
        <v>3.6530037584875665</v>
      </c>
      <c r="CW55" s="132">
        <f t="shared" si="61"/>
        <v>1.9583248221425344</v>
      </c>
      <c r="CX55" s="132">
        <f t="shared" si="61"/>
        <v>1.4296744640232653</v>
      </c>
      <c r="CY55" s="132">
        <f t="shared" si="61"/>
        <v>1.3225356988189272</v>
      </c>
      <c r="CZ55" s="132">
        <f t="shared" si="61"/>
        <v>3.6763142196407395</v>
      </c>
      <c r="DA55" s="132">
        <f t="shared" si="61"/>
        <v>0.87888978107038995</v>
      </c>
      <c r="DB55" s="132">
        <f t="shared" si="61"/>
        <v>11.111111111111111</v>
      </c>
      <c r="DC55" s="132">
        <f t="shared" si="59"/>
        <v>2.8873541444669821</v>
      </c>
      <c r="DD55" s="132">
        <f t="shared" si="59"/>
        <v>4.1878867935995876</v>
      </c>
      <c r="DE55" s="132">
        <f t="shared" si="59"/>
        <v>2.1816803627362824</v>
      </c>
      <c r="DF55" s="132">
        <f t="shared" si="59"/>
        <v>1.3433136621307631</v>
      </c>
      <c r="DG55" s="132">
        <f t="shared" si="59"/>
        <v>1.3440412379470672</v>
      </c>
      <c r="DH55" s="132">
        <f t="shared" si="59"/>
        <v>0.21658376628127227</v>
      </c>
      <c r="DI55" s="132">
        <f t="shared" si="59"/>
        <v>0</v>
      </c>
      <c r="DJ55" s="132">
        <f t="shared" si="57"/>
        <v>0.99638771289719463</v>
      </c>
      <c r="DK55" s="132">
        <f t="shared" si="57"/>
        <v>1.8937062996437828</v>
      </c>
      <c r="DL55" s="132">
        <f t="shared" si="57"/>
        <v>4.153570135098013</v>
      </c>
      <c r="DM55" s="132">
        <f t="shared" si="57"/>
        <v>0.47774853100996445</v>
      </c>
      <c r="DN55" s="132">
        <f t="shared" si="57"/>
        <v>3.1221809079308693</v>
      </c>
      <c r="DO55" s="132">
        <f t="shared" si="57"/>
        <v>2.1215892753170871</v>
      </c>
      <c r="DP55" s="132">
        <f t="shared" si="57"/>
        <v>2.4606587407360738</v>
      </c>
      <c r="DQ55" s="132">
        <f t="shared" si="57"/>
        <v>2.9447863539030497</v>
      </c>
      <c r="DR55" s="58"/>
    </row>
    <row r="56" spans="1:122" ht="98">
      <c r="A56" s="50">
        <v>2017</v>
      </c>
      <c r="B56" s="51" t="s">
        <v>254</v>
      </c>
      <c r="C56" s="52">
        <f>+VLOOKUP(B56,'Indice por pilar'!$B$9:$C$20,2,FALSE)</f>
        <v>0.05</v>
      </c>
      <c r="D56" s="52">
        <f>+VLOOKUP(B56,[1]PONDERACIÓN!$B$22:$E$33,4,FALSE)</f>
        <v>0.5</v>
      </c>
      <c r="E56" s="67" t="s">
        <v>124</v>
      </c>
      <c r="F56" s="59" t="s">
        <v>255</v>
      </c>
      <c r="G56" s="60" t="s">
        <v>374</v>
      </c>
      <c r="H56" s="60" t="s">
        <v>256</v>
      </c>
      <c r="I56" s="60">
        <v>2016</v>
      </c>
      <c r="J56" s="60" t="s">
        <v>257</v>
      </c>
      <c r="K56" s="64">
        <v>0.17</v>
      </c>
      <c r="L56" s="64">
        <v>0.61</v>
      </c>
      <c r="M56" s="64">
        <v>0.28999999999999998</v>
      </c>
      <c r="N56" s="64">
        <v>0.26</v>
      </c>
      <c r="O56" s="64">
        <v>0.26</v>
      </c>
      <c r="P56" s="64">
        <v>0.26</v>
      </c>
      <c r="Q56" s="64">
        <v>0.46</v>
      </c>
      <c r="R56" s="64">
        <v>0.45</v>
      </c>
      <c r="S56" s="101">
        <v>0</v>
      </c>
      <c r="T56" s="64">
        <v>0.64</v>
      </c>
      <c r="U56" s="64">
        <v>0.17</v>
      </c>
      <c r="V56" s="64">
        <v>0.18</v>
      </c>
      <c r="W56" s="64">
        <v>0.78</v>
      </c>
      <c r="X56" s="64">
        <v>0.67</v>
      </c>
      <c r="Y56" s="64">
        <v>0.18</v>
      </c>
      <c r="Z56" s="64">
        <v>0.1</v>
      </c>
      <c r="AA56" s="64">
        <v>0.08</v>
      </c>
      <c r="AB56" s="64">
        <v>0.03</v>
      </c>
      <c r="AC56" s="64">
        <v>0.27</v>
      </c>
      <c r="AD56" s="64">
        <v>0.2</v>
      </c>
      <c r="AE56" s="64">
        <v>0.35</v>
      </c>
      <c r="AF56" s="64">
        <v>0.33</v>
      </c>
      <c r="AG56" s="64">
        <v>0.22</v>
      </c>
      <c r="AH56" s="65">
        <v>0.82</v>
      </c>
      <c r="AI56" s="124">
        <f t="shared" si="53"/>
        <v>0.32416666666666666</v>
      </c>
      <c r="AJ56" s="124">
        <f t="shared" si="54"/>
        <v>0.2305931230670098</v>
      </c>
      <c r="AK56" s="125">
        <f t="shared" si="2"/>
        <v>0.71134125367715106</v>
      </c>
      <c r="AL56" s="125" t="str">
        <f>+HLOOKUP(AN56,$K56:$AH$68,13,FALSE)</f>
        <v>Galápagos</v>
      </c>
      <c r="AM56" s="135">
        <f t="shared" si="55"/>
        <v>0.82</v>
      </c>
      <c r="AN56" s="135">
        <f t="shared" si="56"/>
        <v>0</v>
      </c>
      <c r="AO56" s="124" t="e">
        <f t="shared" si="5"/>
        <v>#DIV/0!</v>
      </c>
      <c r="AP56" s="135">
        <f>+AM56</f>
        <v>0.82</v>
      </c>
      <c r="AQ56" s="145">
        <f>+HLOOKUP($AQ$3,$K$3:$AH$67,54,FALSE)</f>
        <v>0.64</v>
      </c>
      <c r="AR56" s="134">
        <f>(((K56-$AN56)/($AM56-$AN56))*100)</f>
        <v>20.731707317073173</v>
      </c>
      <c r="AS56" s="134">
        <f>(((L56-$AN56)/($AM56-$AN56))*100)</f>
        <v>74.390243902439025</v>
      </c>
      <c r="AT56" s="134">
        <f>(((M56-$AN56)/($AM56-$AN56))*100)</f>
        <v>35.365853658536587</v>
      </c>
      <c r="AU56" s="134">
        <f>(((N56-$AN56)/($AM56-$AN56))*100)</f>
        <v>31.707317073170731</v>
      </c>
      <c r="AV56" s="134">
        <f>(((O56-$AN56)/($AM56-$AN56))*100)</f>
        <v>31.707317073170731</v>
      </c>
      <c r="AW56" s="134">
        <f>(((P56-$AN56)/($AM56-$AN56))*100)</f>
        <v>31.707317073170731</v>
      </c>
      <c r="AX56" s="134">
        <f>(((Q56-$AN56)/($AM56-$AN56))*100)</f>
        <v>56.09756097560976</v>
      </c>
      <c r="AY56" s="134">
        <f>(((R56-$AN56)/($AM56-$AN56))*100)</f>
        <v>54.878048780487809</v>
      </c>
      <c r="AZ56" s="134">
        <f>(((S56-$AN56)/($AM56-$AN56))*100)</f>
        <v>0</v>
      </c>
      <c r="BA56" s="134">
        <f>(((T56-$AN56)/($AM56-$AN56))*100)</f>
        <v>78.048780487804876</v>
      </c>
      <c r="BB56" s="134">
        <f>(((U56-$AN56)/($AM56-$AN56))*100)</f>
        <v>20.731707317073173</v>
      </c>
      <c r="BC56" s="134">
        <f>(((V56-$AN56)/($AM56-$AN56))*100)</f>
        <v>21.951219512195124</v>
      </c>
      <c r="BD56" s="134">
        <f>(((W56-$AN56)/($AM56-$AN56))*100)</f>
        <v>95.121951219512198</v>
      </c>
      <c r="BE56" s="134">
        <f>(((X56-$AN56)/($AM56-$AN56))*100)</f>
        <v>81.707317073170742</v>
      </c>
      <c r="BF56" s="134">
        <f>(((Y56-$AN56)/($AM56-$AN56))*100)</f>
        <v>21.951219512195124</v>
      </c>
      <c r="BG56" s="134">
        <f>(((Z56-$AN56)/($AM56-$AN56))*100)</f>
        <v>12.195121951219514</v>
      </c>
      <c r="BH56" s="134">
        <f>(((AA56-$AN56)/($AM56-$AN56))*100)</f>
        <v>9.7560975609756095</v>
      </c>
      <c r="BI56" s="134">
        <f>(((AB56-$AN56)/($AM56-$AN56))*100)</f>
        <v>3.6585365853658534</v>
      </c>
      <c r="BJ56" s="134">
        <f>(((AC56-$AN56)/($AM56-$AN56))*100)</f>
        <v>32.926829268292686</v>
      </c>
      <c r="BK56" s="134">
        <f>(((AD56-$AN56)/($AM56-$AN56))*100)</f>
        <v>24.390243902439028</v>
      </c>
      <c r="BL56" s="134">
        <f>(((AE56-$AN56)/($AM56-$AN56))*100)</f>
        <v>42.68292682926829</v>
      </c>
      <c r="BM56" s="134">
        <f>(((AF56-$AN56)/($AM56-$AN56))*100)</f>
        <v>40.243902439024396</v>
      </c>
      <c r="BN56" s="134">
        <f>(((AG56-$AN56)/($AM56-$AN56))*100)</f>
        <v>26.829268292682929</v>
      </c>
      <c r="BO56" s="134">
        <f>(((AH56-$AN56)/($AM56-$AN56))*100)</f>
        <v>100</v>
      </c>
      <c r="BP56" s="129">
        <f t="shared" si="6"/>
        <v>100</v>
      </c>
      <c r="BQ56" s="129">
        <f t="shared" si="7"/>
        <v>0</v>
      </c>
      <c r="BR56" s="129">
        <f t="shared" si="8"/>
        <v>39.532520325203258</v>
      </c>
      <c r="BS56" s="129">
        <f t="shared" si="9"/>
        <v>28.121112569147527</v>
      </c>
      <c r="BT56" s="130">
        <f t="shared" si="10"/>
        <v>0.71134125367715073</v>
      </c>
      <c r="BU56" s="131">
        <f t="shared" si="63"/>
        <v>0.5182926829268294</v>
      </c>
      <c r="BV56" s="131">
        <f t="shared" si="63"/>
        <v>1.8597560975609757</v>
      </c>
      <c r="BW56" s="131">
        <f t="shared" si="63"/>
        <v>0.88414634146341475</v>
      </c>
      <c r="BX56" s="131">
        <f t="shared" si="63"/>
        <v>0.79268292682926833</v>
      </c>
      <c r="BY56" s="131">
        <f t="shared" si="63"/>
        <v>0.79268292682926833</v>
      </c>
      <c r="BZ56" s="131">
        <f t="shared" si="63"/>
        <v>0.79268292682926833</v>
      </c>
      <c r="CA56" s="131">
        <f t="shared" si="63"/>
        <v>1.402439024390244</v>
      </c>
      <c r="CB56" s="131">
        <f t="shared" si="63"/>
        <v>1.3719512195121952</v>
      </c>
      <c r="CC56" s="131">
        <f t="shared" si="63"/>
        <v>0</v>
      </c>
      <c r="CD56" s="131">
        <f t="shared" si="63"/>
        <v>1.9512195121951219</v>
      </c>
      <c r="CE56" s="131">
        <f t="shared" si="63"/>
        <v>0.5182926829268294</v>
      </c>
      <c r="CF56" s="131">
        <f t="shared" si="63"/>
        <v>0.54878048780487809</v>
      </c>
      <c r="CG56" s="131">
        <f t="shared" si="63"/>
        <v>2.3780487804878052</v>
      </c>
      <c r="CH56" s="131">
        <f t="shared" si="62"/>
        <v>2.0426829268292686</v>
      </c>
      <c r="CI56" s="131">
        <f t="shared" si="62"/>
        <v>0.54878048780487809</v>
      </c>
      <c r="CJ56" s="131">
        <f t="shared" si="62"/>
        <v>0.30487804878048785</v>
      </c>
      <c r="CK56" s="131">
        <f t="shared" si="60"/>
        <v>0.24390243902439024</v>
      </c>
      <c r="CL56" s="131">
        <f t="shared" si="60"/>
        <v>9.1463414634146339E-2</v>
      </c>
      <c r="CM56" s="131">
        <f t="shared" si="60"/>
        <v>0.82317073170731714</v>
      </c>
      <c r="CN56" s="131">
        <f t="shared" si="26"/>
        <v>0.60975609756097571</v>
      </c>
      <c r="CO56" s="131">
        <f t="shared" si="26"/>
        <v>1.0670731707317074</v>
      </c>
      <c r="CP56" s="131">
        <f t="shared" si="26"/>
        <v>1.00609756097561</v>
      </c>
      <c r="CQ56" s="131">
        <f t="shared" si="26"/>
        <v>0.67073170731707332</v>
      </c>
      <c r="CR56" s="131">
        <f t="shared" si="26"/>
        <v>2.5</v>
      </c>
      <c r="CS56" s="131">
        <f t="shared" si="26"/>
        <v>2.5</v>
      </c>
      <c r="CT56" s="132">
        <f t="shared" si="61"/>
        <v>10.365853658536587</v>
      </c>
      <c r="CU56" s="132">
        <f t="shared" si="61"/>
        <v>37.195121951219512</v>
      </c>
      <c r="CV56" s="132">
        <f t="shared" si="61"/>
        <v>17.682926829268293</v>
      </c>
      <c r="CW56" s="132">
        <f t="shared" si="61"/>
        <v>15.853658536585366</v>
      </c>
      <c r="CX56" s="132">
        <f t="shared" si="61"/>
        <v>15.853658536585366</v>
      </c>
      <c r="CY56" s="132">
        <f t="shared" si="61"/>
        <v>15.853658536585366</v>
      </c>
      <c r="CZ56" s="132">
        <f t="shared" si="61"/>
        <v>28.04878048780488</v>
      </c>
      <c r="DA56" s="132">
        <f t="shared" si="61"/>
        <v>27.439024390243905</v>
      </c>
      <c r="DB56" s="132">
        <f t="shared" si="61"/>
        <v>0</v>
      </c>
      <c r="DC56" s="132">
        <f t="shared" si="59"/>
        <v>39.024390243902438</v>
      </c>
      <c r="DD56" s="132">
        <f t="shared" si="59"/>
        <v>10.365853658536587</v>
      </c>
      <c r="DE56" s="132">
        <f t="shared" si="59"/>
        <v>10.975609756097562</v>
      </c>
      <c r="DF56" s="132">
        <f t="shared" si="59"/>
        <v>47.560975609756099</v>
      </c>
      <c r="DG56" s="132">
        <f t="shared" si="59"/>
        <v>40.853658536585371</v>
      </c>
      <c r="DH56" s="132">
        <f t="shared" si="59"/>
        <v>10.975609756097562</v>
      </c>
      <c r="DI56" s="132">
        <f t="shared" si="59"/>
        <v>6.0975609756097571</v>
      </c>
      <c r="DJ56" s="132">
        <f t="shared" si="57"/>
        <v>4.8780487804878048</v>
      </c>
      <c r="DK56" s="132">
        <f t="shared" si="57"/>
        <v>1.8292682926829267</v>
      </c>
      <c r="DL56" s="132">
        <f t="shared" si="57"/>
        <v>16.463414634146343</v>
      </c>
      <c r="DM56" s="132">
        <f t="shared" si="57"/>
        <v>12.195121951219514</v>
      </c>
      <c r="DN56" s="132">
        <f t="shared" si="57"/>
        <v>21.341463414634145</v>
      </c>
      <c r="DO56" s="132">
        <f t="shared" si="57"/>
        <v>20.121951219512198</v>
      </c>
      <c r="DP56" s="132">
        <f t="shared" si="57"/>
        <v>13.414634146341465</v>
      </c>
      <c r="DQ56" s="132">
        <f t="shared" si="57"/>
        <v>50</v>
      </c>
      <c r="DR56" s="96"/>
    </row>
    <row r="57" spans="1:122" ht="98">
      <c r="A57" s="50">
        <v>2017</v>
      </c>
      <c r="B57" s="51" t="s">
        <v>254</v>
      </c>
      <c r="C57" s="52">
        <f>+VLOOKUP(B57,'Indice por pilar'!$B$9:$C$20,2,FALSE)</f>
        <v>0.05</v>
      </c>
      <c r="D57" s="52">
        <f>+VLOOKUP(B57,[1]PONDERACIÓN!$B$22:$E$33,4,FALSE)</f>
        <v>0.5</v>
      </c>
      <c r="E57" s="67" t="s">
        <v>124</v>
      </c>
      <c r="F57" s="59" t="s">
        <v>258</v>
      </c>
      <c r="G57" s="60" t="s">
        <v>259</v>
      </c>
      <c r="H57" s="60" t="s">
        <v>256</v>
      </c>
      <c r="I57" s="60">
        <v>2016</v>
      </c>
      <c r="J57" s="60" t="s">
        <v>131</v>
      </c>
      <c r="K57" s="64">
        <v>0.56155738462571447</v>
      </c>
      <c r="L57" s="64">
        <v>0.29711184739773572</v>
      </c>
      <c r="M57" s="64">
        <v>0.43361266396879389</v>
      </c>
      <c r="N57" s="64">
        <v>0.54005599540877369</v>
      </c>
      <c r="O57" s="64">
        <v>0.53004840492749394</v>
      </c>
      <c r="P57" s="64">
        <v>0.45159614208764581</v>
      </c>
      <c r="Q57" s="64">
        <v>0.31081590571856238</v>
      </c>
      <c r="R57" s="64">
        <v>0.47257333290716819</v>
      </c>
      <c r="S57" s="101">
        <v>0.97</v>
      </c>
      <c r="T57" s="64">
        <v>0.22266517468931005</v>
      </c>
      <c r="U57" s="64">
        <v>0.65986519017100131</v>
      </c>
      <c r="V57" s="64">
        <v>0.46218504974226454</v>
      </c>
      <c r="W57" s="64">
        <v>0.10409775343089397</v>
      </c>
      <c r="X57" s="64">
        <v>0.25061955599236785</v>
      </c>
      <c r="Y57" s="64">
        <v>0.71850601162172578</v>
      </c>
      <c r="Z57" s="64">
        <v>0.84671652016361776</v>
      </c>
      <c r="AA57" s="64">
        <v>0.85996818473460834</v>
      </c>
      <c r="AB57" s="64">
        <v>0.93204110007131913</v>
      </c>
      <c r="AC57" s="64">
        <v>0.5629610867769882</v>
      </c>
      <c r="AD57" s="74">
        <v>0.66954869749395085</v>
      </c>
      <c r="AE57" s="64">
        <v>0.48855427147024694</v>
      </c>
      <c r="AF57" s="64">
        <v>0.59376461284431703</v>
      </c>
      <c r="AG57" s="64">
        <v>0.61045989165015013</v>
      </c>
      <c r="AH57" s="65">
        <v>0.12719292133347726</v>
      </c>
      <c r="AI57" s="124">
        <f t="shared" si="53"/>
        <v>0.52818823746783872</v>
      </c>
      <c r="AJ57" s="124">
        <f t="shared" si="54"/>
        <v>0.23704963410520424</v>
      </c>
      <c r="AK57" s="125">
        <f t="shared" si="2"/>
        <v>0.44879763934470074</v>
      </c>
      <c r="AL57" s="125" t="str">
        <f>+HLOOKUP(AN57,$K57:$AH$68,12,FALSE)</f>
        <v>Los Ríos</v>
      </c>
      <c r="AM57" s="135">
        <f t="shared" si="55"/>
        <v>0.97</v>
      </c>
      <c r="AN57" s="135">
        <f t="shared" si="56"/>
        <v>0.10409775343089397</v>
      </c>
      <c r="AO57" s="124">
        <f t="shared" si="5"/>
        <v>9.3181645907847699</v>
      </c>
      <c r="AP57" s="135">
        <f>+AM57</f>
        <v>0.97</v>
      </c>
      <c r="AQ57" s="139">
        <f>+HLOOKUP($AQ$3,$K$3:$AH$67,55,FALSE)</f>
        <v>0.22266517468931005</v>
      </c>
      <c r="AR57" s="134">
        <f>(((K57-$AN57)/($AM57-$AN57))*100)</f>
        <v>52.830401238404853</v>
      </c>
      <c r="AS57" s="134">
        <f>(((L57-$AN57)/($AM57-$AN57))*100)</f>
        <v>22.290517749735123</v>
      </c>
      <c r="AT57" s="134">
        <f>(((M57-$AN57)/($AM57-$AN57))*100)</f>
        <v>38.054516181648687</v>
      </c>
      <c r="AU57" s="134">
        <f>(((N57-$AN57)/($AM57-$AN57))*100)</f>
        <v>50.347281544220678</v>
      </c>
      <c r="AV57" s="134">
        <f>(((O57-$AN57)/($AM57-$AN57))*100)</f>
        <v>49.191540174922693</v>
      </c>
      <c r="AW57" s="134">
        <f>(((P57-$AN57)/($AM57-$AN57))*100)</f>
        <v>40.131364716238636</v>
      </c>
      <c r="AX57" s="134">
        <f>(((Q57-$AN57)/($AM57-$AN57))*100)</f>
        <v>23.873151167667125</v>
      </c>
      <c r="AY57" s="134">
        <f>(((R57-$AN57)/($AM57-$AN57))*100)</f>
        <v>42.553946584184878</v>
      </c>
      <c r="AZ57" s="134">
        <f>(((S57-$AN57)/($AM57-$AN57))*100)</f>
        <v>100</v>
      </c>
      <c r="BA57" s="134">
        <f>(((T57-$AN57)/($AM57-$AN57))*100)</f>
        <v>13.692933784177846</v>
      </c>
      <c r="BB57" s="134">
        <f>(((U57-$AN57)/($AM57-$AN57))*100)</f>
        <v>64.183623375753953</v>
      </c>
      <c r="BC57" s="134">
        <f>(((V57-$AN57)/($AM57-$AN57))*100)</f>
        <v>41.354240357983912</v>
      </c>
      <c r="BD57" s="134">
        <f>(((W57-$AN57)/($AM57-$AN57))*100)</f>
        <v>0</v>
      </c>
      <c r="BE57" s="134">
        <f>(((X57-$AN57)/($AM57-$AN57))*100)</f>
        <v>16.921286801371089</v>
      </c>
      <c r="BF57" s="134">
        <f>(((Y57-$AN57)/($AM57-$AN57))*100)</f>
        <v>70.955845261431264</v>
      </c>
      <c r="BG57" s="134">
        <f>(((Z57-$AN57)/($AM57-$AN57))*100)</f>
        <v>85.762425224688087</v>
      </c>
      <c r="BH57" s="134">
        <f>(((AA57-$AN57)/($AM57-$AN57))*100)</f>
        <v>87.292813282173398</v>
      </c>
      <c r="BI57" s="134">
        <f>(((AB57-$AN57)/($AM57-$AN57))*100)</f>
        <v>95.616260371296832</v>
      </c>
      <c r="BJ57" s="134">
        <f>(((AC57-$AN57)/($AM57-$AN57))*100)</f>
        <v>52.992509854803018</v>
      </c>
      <c r="BK57" s="134">
        <f>(((AD57-$AN57)/($AM57-$AN57))*100)</f>
        <v>65.301937522797417</v>
      </c>
      <c r="BL57" s="134">
        <f>(((AE57-$AN57)/($AM57-$AN57))*100)</f>
        <v>44.399528880154051</v>
      </c>
      <c r="BM57" s="134">
        <f>(((AF57-$AN57)/($AM57-$AN57))*100)</f>
        <v>56.549900563671038</v>
      </c>
      <c r="BN57" s="134">
        <f>(((AG57-$AN57)/($AM57-$AN57))*100)</f>
        <v>58.477979497752045</v>
      </c>
      <c r="BO57" s="134">
        <f>(((AH57-$AN57)/($AM57-$AN57))*100)</f>
        <v>2.6671795799227209</v>
      </c>
      <c r="BP57" s="129">
        <f t="shared" si="6"/>
        <v>100</v>
      </c>
      <c r="BQ57" s="129">
        <f t="shared" si="7"/>
        <v>0</v>
      </c>
      <c r="BR57" s="129">
        <f t="shared" si="8"/>
        <v>48.976715988124973</v>
      </c>
      <c r="BS57" s="129">
        <f t="shared" si="9"/>
        <v>27.376027149074503</v>
      </c>
      <c r="BT57" s="130">
        <f t="shared" si="10"/>
        <v>0.55896004043456426</v>
      </c>
      <c r="BU57" s="131">
        <f t="shared" si="63"/>
        <v>1.3207600309601215</v>
      </c>
      <c r="BV57" s="131">
        <f t="shared" si="63"/>
        <v>0.55726294374337815</v>
      </c>
      <c r="BW57" s="131">
        <f t="shared" si="63"/>
        <v>0.95136290454121719</v>
      </c>
      <c r="BX57" s="131">
        <f t="shared" si="63"/>
        <v>1.2586820386055171</v>
      </c>
      <c r="BY57" s="131">
        <f t="shared" si="63"/>
        <v>1.2297885043730674</v>
      </c>
      <c r="BZ57" s="131">
        <f t="shared" si="63"/>
        <v>1.0032841179059659</v>
      </c>
      <c r="CA57" s="131">
        <f t="shared" si="63"/>
        <v>0.59682877919167809</v>
      </c>
      <c r="CB57" s="131">
        <f t="shared" si="63"/>
        <v>1.0638486646046219</v>
      </c>
      <c r="CC57" s="131">
        <f t="shared" si="63"/>
        <v>2.5</v>
      </c>
      <c r="CD57" s="131">
        <f t="shared" si="63"/>
        <v>0.34232334460444619</v>
      </c>
      <c r="CE57" s="131">
        <f t="shared" si="63"/>
        <v>1.6045905843938488</v>
      </c>
      <c r="CF57" s="131">
        <f t="shared" si="63"/>
        <v>1.0338560089495978</v>
      </c>
      <c r="CG57" s="131">
        <f t="shared" si="63"/>
        <v>0</v>
      </c>
      <c r="CH57" s="131">
        <f t="shared" si="62"/>
        <v>0.42303217003427723</v>
      </c>
      <c r="CI57" s="131">
        <f t="shared" si="62"/>
        <v>1.7738961315357817</v>
      </c>
      <c r="CJ57" s="131">
        <f t="shared" si="62"/>
        <v>2.1440606306172021</v>
      </c>
      <c r="CK57" s="131">
        <f t="shared" si="60"/>
        <v>2.182320332054335</v>
      </c>
      <c r="CL57" s="131">
        <f t="shared" si="60"/>
        <v>2.3904065092824207</v>
      </c>
      <c r="CM57" s="131">
        <f t="shared" si="60"/>
        <v>1.3248127463700756</v>
      </c>
      <c r="CN57" s="131">
        <f t="shared" si="26"/>
        <v>1.6325484380699355</v>
      </c>
      <c r="CO57" s="131">
        <f t="shared" si="26"/>
        <v>1.1099882220038513</v>
      </c>
      <c r="CP57" s="131">
        <f t="shared" si="26"/>
        <v>1.4137475140917761</v>
      </c>
      <c r="CQ57" s="131">
        <f t="shared" si="26"/>
        <v>1.4619494874438013</v>
      </c>
      <c r="CR57" s="131">
        <f t="shared" si="26"/>
        <v>6.6679489498068026E-2</v>
      </c>
      <c r="CS57" s="131">
        <f t="shared" si="26"/>
        <v>2.5</v>
      </c>
      <c r="CT57" s="132">
        <f t="shared" si="61"/>
        <v>26.415200619202427</v>
      </c>
      <c r="CU57" s="132">
        <f t="shared" si="61"/>
        <v>11.145258874867562</v>
      </c>
      <c r="CV57" s="132">
        <f t="shared" si="61"/>
        <v>19.027258090824343</v>
      </c>
      <c r="CW57" s="132">
        <f t="shared" si="61"/>
        <v>25.173640772110339</v>
      </c>
      <c r="CX57" s="132">
        <f t="shared" si="61"/>
        <v>24.595770087461347</v>
      </c>
      <c r="CY57" s="132">
        <f t="shared" si="61"/>
        <v>20.065682358119318</v>
      </c>
      <c r="CZ57" s="132">
        <f t="shared" si="61"/>
        <v>11.936575583833562</v>
      </c>
      <c r="DA57" s="132">
        <f t="shared" si="61"/>
        <v>21.276973292092439</v>
      </c>
      <c r="DB57" s="132">
        <f t="shared" si="61"/>
        <v>50</v>
      </c>
      <c r="DC57" s="132">
        <f t="shared" si="59"/>
        <v>6.8464668920889231</v>
      </c>
      <c r="DD57" s="132">
        <f t="shared" si="59"/>
        <v>32.091811687876977</v>
      </c>
      <c r="DE57" s="132">
        <f t="shared" si="59"/>
        <v>20.677120178991956</v>
      </c>
      <c r="DF57" s="132">
        <f t="shared" si="59"/>
        <v>0</v>
      </c>
      <c r="DG57" s="132">
        <f t="shared" si="59"/>
        <v>8.4606434006855444</v>
      </c>
      <c r="DH57" s="132">
        <f t="shared" si="59"/>
        <v>35.477922630715632</v>
      </c>
      <c r="DI57" s="132">
        <f t="shared" si="59"/>
        <v>42.881212612344044</v>
      </c>
      <c r="DJ57" s="132">
        <f t="shared" si="57"/>
        <v>43.646406641086699</v>
      </c>
      <c r="DK57" s="132">
        <f t="shared" si="57"/>
        <v>47.808130185648416</v>
      </c>
      <c r="DL57" s="132">
        <f t="shared" si="57"/>
        <v>26.496254927401509</v>
      </c>
      <c r="DM57" s="132">
        <f t="shared" si="57"/>
        <v>32.650968761398708</v>
      </c>
      <c r="DN57" s="132">
        <f t="shared" si="57"/>
        <v>22.199764440077026</v>
      </c>
      <c r="DO57" s="132">
        <f t="shared" si="57"/>
        <v>28.274950281835519</v>
      </c>
      <c r="DP57" s="132">
        <f t="shared" si="57"/>
        <v>29.238989748876023</v>
      </c>
      <c r="DQ57" s="132">
        <f t="shared" si="57"/>
        <v>1.3335897899613605</v>
      </c>
      <c r="DR57" s="58"/>
    </row>
    <row r="58" spans="1:122" ht="140">
      <c r="A58" s="50">
        <v>2017</v>
      </c>
      <c r="B58" s="51" t="s">
        <v>260</v>
      </c>
      <c r="C58" s="52">
        <f>+VLOOKUP(B58,'Indice por pilar'!$B$9:$C$20,2,FALSE)</f>
        <v>0.05</v>
      </c>
      <c r="D58" s="52">
        <f>+VLOOKUP(B58,[1]PONDERACIÓN!$B$22:$E$33,4,FALSE)</f>
        <v>0.25</v>
      </c>
      <c r="E58" s="53" t="s">
        <v>119</v>
      </c>
      <c r="F58" s="71" t="s">
        <v>261</v>
      </c>
      <c r="G58" s="60" t="s">
        <v>262</v>
      </c>
      <c r="H58" s="60" t="s">
        <v>356</v>
      </c>
      <c r="I58" s="60">
        <v>2016</v>
      </c>
      <c r="J58" s="60" t="s">
        <v>131</v>
      </c>
      <c r="K58" s="64">
        <v>2.2100000000000002E-2</v>
      </c>
      <c r="L58" s="64">
        <v>1.2500000000000001E-2</v>
      </c>
      <c r="M58" s="64">
        <v>1.8599999999999998E-2</v>
      </c>
      <c r="N58" s="64">
        <v>7.7999999999999996E-3</v>
      </c>
      <c r="O58" s="64">
        <v>1.9E-2</v>
      </c>
      <c r="P58" s="64">
        <v>1.41E-2</v>
      </c>
      <c r="Q58" s="64">
        <v>2.8400000000000002E-2</v>
      </c>
      <c r="R58" s="64">
        <v>2.46E-2</v>
      </c>
      <c r="S58" s="64">
        <v>6.0999999999999999E-2</v>
      </c>
      <c r="T58" s="64">
        <v>3.4500000000000003E-2</v>
      </c>
      <c r="U58" s="64">
        <v>1.8800000000000001E-2</v>
      </c>
      <c r="V58" s="64">
        <v>1.4800000000000001E-2</v>
      </c>
      <c r="W58" s="64">
        <v>1.8499999999999999E-2</v>
      </c>
      <c r="X58" s="64">
        <v>1.7399999999999999E-2</v>
      </c>
      <c r="Y58" s="64">
        <v>2.7E-2</v>
      </c>
      <c r="Z58" s="64">
        <v>2.6700000000000002E-2</v>
      </c>
      <c r="AA58" s="64">
        <v>2.5000000000000001E-2</v>
      </c>
      <c r="AB58" s="64">
        <v>3.1E-2</v>
      </c>
      <c r="AC58" s="64">
        <v>1.18E-2</v>
      </c>
      <c r="AD58" s="64">
        <v>2.1399999999999999E-2</v>
      </c>
      <c r="AE58" s="64">
        <v>1.4500000000000001E-2</v>
      </c>
      <c r="AF58" s="64">
        <v>1.5699999999999999E-2</v>
      </c>
      <c r="AG58" s="64">
        <v>3.73E-2</v>
      </c>
      <c r="AH58" s="65">
        <v>2.2100000000000002E-2</v>
      </c>
      <c r="AI58" s="124">
        <f t="shared" si="53"/>
        <v>2.2691666666666666E-2</v>
      </c>
      <c r="AJ58" s="124">
        <f t="shared" si="54"/>
        <v>1.0945275600505209E-2</v>
      </c>
      <c r="AK58" s="125">
        <f t="shared" si="2"/>
        <v>0.48234780464951343</v>
      </c>
      <c r="AL58" s="125" t="str">
        <f>+HLOOKUP(AN58,$K58:$AH$68,11,FALSE)</f>
        <v>Carchi</v>
      </c>
      <c r="AM58" s="135">
        <f t="shared" si="55"/>
        <v>6.0999999999999999E-2</v>
      </c>
      <c r="AN58" s="135">
        <f t="shared" si="56"/>
        <v>7.7999999999999996E-3</v>
      </c>
      <c r="AO58" s="124">
        <f t="shared" si="5"/>
        <v>7.8205128205128203</v>
      </c>
      <c r="AP58" s="135">
        <f>+AN58</f>
        <v>7.7999999999999996E-3</v>
      </c>
      <c r="AQ58" s="139">
        <f>+HLOOKUP($AQ$3,$K$3:$AH$67,56,FALSE)</f>
        <v>3.4500000000000003E-2</v>
      </c>
      <c r="AR58" s="134">
        <f>100-(((K58-AN58)/(AM58-AN58))*100)</f>
        <v>73.120300751879697</v>
      </c>
      <c r="AS58" s="134">
        <f>100-(((L58-AR58)/(AN58-AR58))*100)</f>
        <v>6.4284492414685701E-3</v>
      </c>
      <c r="AT58" s="134">
        <f>100-(((M58-AS58)/(AR58-AS58))*100)</f>
        <v>99.983352610968069</v>
      </c>
      <c r="AU58" s="134">
        <f>100-(((N58-AT58)/(AS58-AT58))*100)</f>
        <v>1.3718673284301985E-3</v>
      </c>
      <c r="AV58" s="134">
        <f>100-(((O58-AU58)/(AT58-AU58))*100)</f>
        <v>99.982368690297534</v>
      </c>
      <c r="AW58" s="134">
        <f>100-(((P58-AV58)/(AU58-AV58))*100)</f>
        <v>1.2730551880878238E-2</v>
      </c>
      <c r="AX58" s="134">
        <f>100-(((Q58-AW58)/(AV58-AW58))*100)</f>
        <v>99.98432579289981</v>
      </c>
      <c r="AY58" s="134">
        <f>100-(((R58-AX58)/(AW58-AX58))*100)</f>
        <v>1.1872820565201891E-2</v>
      </c>
      <c r="AZ58" s="134">
        <f>100-(((S58-AY58)/(AX58-AY58))*100)</f>
        <v>99.950859283758504</v>
      </c>
      <c r="BA58" s="134">
        <f>100-(((T58-AZ58)/(AY58-AZ58))*100)</f>
        <v>2.2640993505689266E-2</v>
      </c>
      <c r="BB58" s="134">
        <f>100-(((U58-BA58)/(AZ58-BA58))*100)</f>
        <v>100.00384375261703</v>
      </c>
      <c r="BC58" s="134">
        <f>100-(((V58-BB58)/(BA58-BB58))*100)</f>
        <v>-7.8424676732282705E-3</v>
      </c>
      <c r="BD58" s="134">
        <f>100-(((W58-BC58)/(BB58-BC58))*100)</f>
        <v>99.973660610405858</v>
      </c>
      <c r="BE58" s="134">
        <f>100-(((X58-BD58)/(BC58-BD58))*100)</f>
        <v>2.5247137616560167E-2</v>
      </c>
      <c r="BF58" s="134">
        <f>100-(((Y58-BE58)/(BD58-BE58))*100)</f>
        <v>99.998246232909025</v>
      </c>
      <c r="BG58" s="134">
        <f>100-(((Z58-BF58)/(BE58-BF58))*100)</f>
        <v>1.4532547753844938E-3</v>
      </c>
      <c r="BH58" s="134">
        <f>100-(((AA58-BG58)/(BF58-BG58))*100)</f>
        <v>99.976452499601905</v>
      </c>
      <c r="BI58" s="134">
        <f>100-(((AB58-BH58)/(BG58-BH58))*100)</f>
        <v>2.9554133981307018E-2</v>
      </c>
      <c r="BJ58" s="134">
        <f>100-(((AC58-BI58)/(BH58-BI58))*100)</f>
        <v>100.01776356672556</v>
      </c>
      <c r="BK58" s="134">
        <f>100-(((AD58-BJ58)/(BI58-BJ58))*100)</f>
        <v>-8.1550955133309344E-3</v>
      </c>
      <c r="BL58" s="134">
        <f>100-(((AE58-BK58)/(BJ58-BK58))*100)</f>
        <v>99.977350774862828</v>
      </c>
      <c r="BM58" s="134">
        <f>100-(((AF58-BL58)/(BK58-BL58))*100)</f>
        <v>2.3858553603005817E-2</v>
      </c>
      <c r="BN58" s="134">
        <f>100-(((AG58-BM58)/(BL58-BM58))*100)</f>
        <v>99.986552299376157</v>
      </c>
      <c r="BO58" s="134">
        <f>100-(((AH58-BN58)/(BM58-BN58))*100)</f>
        <v>-1.759209898338554E-3</v>
      </c>
      <c r="BP58" s="129">
        <f t="shared" si="6"/>
        <v>100.01776356672556</v>
      </c>
      <c r="BQ58" s="129">
        <f t="shared" si="7"/>
        <v>-8.1550955133309344E-3</v>
      </c>
      <c r="BR58" s="129">
        <f t="shared" si="8"/>
        <v>48.878019910654793</v>
      </c>
      <c r="BS58" s="129">
        <f t="shared" si="9"/>
        <v>50.206565598613615</v>
      </c>
      <c r="BT58" s="130">
        <f t="shared" si="10"/>
        <v>1.0271808410076206</v>
      </c>
      <c r="BU58" s="131">
        <f t="shared" si="63"/>
        <v>0.91400375939849621</v>
      </c>
      <c r="BV58" s="131">
        <f t="shared" si="63"/>
        <v>8.0355615518357134E-5</v>
      </c>
      <c r="BW58" s="131">
        <f t="shared" si="63"/>
        <v>1.2497919076371009</v>
      </c>
      <c r="BX58" s="131">
        <f t="shared" si="63"/>
        <v>1.7148341605377482E-5</v>
      </c>
      <c r="BY58" s="131">
        <f t="shared" si="63"/>
        <v>1.2497796086287192</v>
      </c>
      <c r="BZ58" s="131">
        <f t="shared" si="63"/>
        <v>1.5913189851097799E-4</v>
      </c>
      <c r="CA58" s="131">
        <f t="shared" si="63"/>
        <v>1.2498040724112478</v>
      </c>
      <c r="CB58" s="131">
        <f t="shared" si="63"/>
        <v>1.4841025706502364E-4</v>
      </c>
      <c r="CC58" s="131">
        <f t="shared" si="63"/>
        <v>1.2493857410469813</v>
      </c>
      <c r="CD58" s="131">
        <f t="shared" si="63"/>
        <v>2.8301241882111583E-4</v>
      </c>
      <c r="CE58" s="131">
        <f t="shared" si="63"/>
        <v>1.2500480469077129</v>
      </c>
      <c r="CF58" s="131">
        <f t="shared" si="63"/>
        <v>-9.8030845915353384E-5</v>
      </c>
      <c r="CG58" s="131">
        <f t="shared" si="63"/>
        <v>1.2496707576300734</v>
      </c>
      <c r="CH58" s="131">
        <f t="shared" si="62"/>
        <v>3.1558922020700212E-4</v>
      </c>
      <c r="CI58" s="131">
        <f t="shared" si="62"/>
        <v>1.249978077911363</v>
      </c>
      <c r="CJ58" s="131">
        <f t="shared" si="62"/>
        <v>1.8165684692306171E-5</v>
      </c>
      <c r="CK58" s="131">
        <f t="shared" si="60"/>
        <v>1.2497056562450239</v>
      </c>
      <c r="CL58" s="131">
        <f t="shared" si="60"/>
        <v>3.6942667476633776E-4</v>
      </c>
      <c r="CM58" s="131">
        <f t="shared" si="60"/>
        <v>1.2502220445840697</v>
      </c>
      <c r="CN58" s="131">
        <f t="shared" si="26"/>
        <v>-1.0193869391663669E-4</v>
      </c>
      <c r="CO58" s="131">
        <f t="shared" si="26"/>
        <v>1.2497168846857853</v>
      </c>
      <c r="CP58" s="131">
        <f t="shared" si="26"/>
        <v>2.9823192003757275E-4</v>
      </c>
      <c r="CQ58" s="131">
        <f t="shared" si="26"/>
        <v>1.2498319037422021</v>
      </c>
      <c r="CR58" s="131">
        <f t="shared" si="26"/>
        <v>-2.1990123729231926E-5</v>
      </c>
      <c r="CS58" s="131">
        <f t="shared" si="26"/>
        <v>1.2502220445840697</v>
      </c>
      <c r="CT58" s="132">
        <f t="shared" si="61"/>
        <v>18.280075187969924</v>
      </c>
      <c r="CU58" s="132">
        <f t="shared" si="61"/>
        <v>1.6071123103671425E-3</v>
      </c>
      <c r="CV58" s="132">
        <f t="shared" si="61"/>
        <v>24.995838152742017</v>
      </c>
      <c r="CW58" s="132">
        <f t="shared" si="61"/>
        <v>3.4296683210754964E-4</v>
      </c>
      <c r="CX58" s="132">
        <f t="shared" si="61"/>
        <v>24.995592172574383</v>
      </c>
      <c r="CY58" s="132">
        <f t="shared" si="61"/>
        <v>3.1826379702195595E-3</v>
      </c>
      <c r="CZ58" s="132">
        <f t="shared" si="61"/>
        <v>24.996081448224952</v>
      </c>
      <c r="DA58" s="132">
        <f t="shared" si="61"/>
        <v>2.9682051413004729E-3</v>
      </c>
      <c r="DB58" s="132">
        <f t="shared" si="61"/>
        <v>24.987714820939626</v>
      </c>
      <c r="DC58" s="132">
        <f t="shared" si="59"/>
        <v>5.6602483764223166E-3</v>
      </c>
      <c r="DD58" s="132">
        <f t="shared" si="59"/>
        <v>25.000960938154257</v>
      </c>
      <c r="DE58" s="132">
        <f t="shared" si="59"/>
        <v>-1.9606169183070676E-3</v>
      </c>
      <c r="DF58" s="132">
        <f t="shared" si="59"/>
        <v>24.993415152601465</v>
      </c>
      <c r="DG58" s="132">
        <f t="shared" si="59"/>
        <v>6.3117844041400417E-3</v>
      </c>
      <c r="DH58" s="132">
        <f t="shared" si="59"/>
        <v>24.999561558227256</v>
      </c>
      <c r="DI58" s="132">
        <f t="shared" si="59"/>
        <v>3.6331369384612344E-4</v>
      </c>
      <c r="DJ58" s="132">
        <f t="shared" si="57"/>
        <v>24.994113124900476</v>
      </c>
      <c r="DK58" s="132">
        <f t="shared" si="57"/>
        <v>7.3885334953267545E-3</v>
      </c>
      <c r="DL58" s="132">
        <f t="shared" si="57"/>
        <v>25.004440891681391</v>
      </c>
      <c r="DM58" s="132">
        <f t="shared" si="57"/>
        <v>-2.0387738783327336E-3</v>
      </c>
      <c r="DN58" s="132">
        <f t="shared" si="57"/>
        <v>24.994337693715707</v>
      </c>
      <c r="DO58" s="132">
        <f t="shared" si="57"/>
        <v>5.9646384007514541E-3</v>
      </c>
      <c r="DP58" s="132">
        <f t="shared" si="57"/>
        <v>24.996638074844039</v>
      </c>
      <c r="DQ58" s="132">
        <f t="shared" si="57"/>
        <v>-4.398024745846385E-4</v>
      </c>
      <c r="DR58" s="58"/>
    </row>
    <row r="59" spans="1:122" ht="98">
      <c r="A59" s="50">
        <v>2017</v>
      </c>
      <c r="B59" s="51" t="s">
        <v>260</v>
      </c>
      <c r="C59" s="52">
        <f>+VLOOKUP(B59,'Indice por pilar'!$B$9:$C$20,2,FALSE)</f>
        <v>0.05</v>
      </c>
      <c r="D59" s="52">
        <f>+VLOOKUP(B59,[1]PONDERACIÓN!$B$22:$E$33,4,FALSE)</f>
        <v>0.25</v>
      </c>
      <c r="E59" s="53" t="s">
        <v>124</v>
      </c>
      <c r="F59" s="59" t="s">
        <v>264</v>
      </c>
      <c r="G59" s="60" t="s">
        <v>265</v>
      </c>
      <c r="H59" s="60" t="s">
        <v>263</v>
      </c>
      <c r="I59" s="60">
        <v>2016</v>
      </c>
      <c r="J59" s="60" t="s">
        <v>131</v>
      </c>
      <c r="K59" s="64">
        <v>1.7299999999999999E-2</v>
      </c>
      <c r="L59" s="64">
        <v>4.7399999999999998E-2</v>
      </c>
      <c r="M59" s="64">
        <v>4.7600000000000003E-2</v>
      </c>
      <c r="N59" s="64">
        <v>0.2019</v>
      </c>
      <c r="O59" s="64">
        <v>3.6299999999999999E-2</v>
      </c>
      <c r="P59" s="64">
        <v>3.6600000000000001E-2</v>
      </c>
      <c r="Q59" s="64">
        <v>3.0099999999999998E-2</v>
      </c>
      <c r="R59" s="64">
        <v>3.8699999999999998E-2</v>
      </c>
      <c r="S59" s="64">
        <v>3.4299999999999997E-2</v>
      </c>
      <c r="T59" s="64">
        <v>1.09E-2</v>
      </c>
      <c r="U59" s="64">
        <v>4.82E-2</v>
      </c>
      <c r="V59" s="64">
        <v>3.1199999999999999E-2</v>
      </c>
      <c r="W59" s="64">
        <v>4.8500000000000001E-2</v>
      </c>
      <c r="X59" s="64">
        <v>4.24E-2</v>
      </c>
      <c r="Y59" s="64">
        <v>4.1799999999999997E-2</v>
      </c>
      <c r="Z59" s="64">
        <v>5.4199999999999998E-2</v>
      </c>
      <c r="AA59" s="64">
        <v>3.4799999999999998E-2</v>
      </c>
      <c r="AB59" s="64">
        <v>6.1499999999999999E-2</v>
      </c>
      <c r="AC59" s="64">
        <v>4.7000000000000002E-3</v>
      </c>
      <c r="AD59" s="64">
        <v>5.74E-2</v>
      </c>
      <c r="AE59" s="64">
        <v>4.41E-2</v>
      </c>
      <c r="AF59" s="64">
        <v>4.4900000000000002E-2</v>
      </c>
      <c r="AG59" s="64">
        <v>2.6800000000000001E-2</v>
      </c>
      <c r="AH59" s="65">
        <v>5.3400000000000003E-2</v>
      </c>
      <c r="AI59" s="124">
        <f t="shared" si="53"/>
        <v>4.5625000000000006E-2</v>
      </c>
      <c r="AJ59" s="124">
        <f t="shared" si="54"/>
        <v>3.608240869719348E-2</v>
      </c>
      <c r="AK59" s="125">
        <f t="shared" si="2"/>
        <v>0.79084731391108987</v>
      </c>
      <c r="AL59" s="125" t="str">
        <f>+HLOOKUP(AN59,$K59:$AH$68,10,FALSE)</f>
        <v>Pichincha</v>
      </c>
      <c r="AM59" s="135">
        <f t="shared" si="55"/>
        <v>0.2019</v>
      </c>
      <c r="AN59" s="135">
        <f t="shared" si="56"/>
        <v>4.7000000000000002E-3</v>
      </c>
      <c r="AO59" s="124">
        <f t="shared" si="5"/>
        <v>42.957446808510639</v>
      </c>
      <c r="AP59" s="135">
        <f t="shared" ref="AP59:AP66" si="64">+AM59</f>
        <v>0.2019</v>
      </c>
      <c r="AQ59" s="139">
        <f>+HLOOKUP($AQ$3,$K$3:$AH$67,57,FALSE)</f>
        <v>1.09E-2</v>
      </c>
      <c r="AR59" s="134">
        <f>(((K59-$AN59)/($AM59-$AN59))*100)</f>
        <v>6.3894523326572017</v>
      </c>
      <c r="AS59" s="134">
        <f>(((L59-$AN59)/($AM59-$AN59))*100)</f>
        <v>21.653144016227181</v>
      </c>
      <c r="AT59" s="134">
        <f>(((M59-$AN59)/($AM59-$AN59))*100)</f>
        <v>21.754563894523329</v>
      </c>
      <c r="AU59" s="134">
        <f>(((N59-$AN59)/($AM59-$AN59))*100)</f>
        <v>100</v>
      </c>
      <c r="AV59" s="134">
        <f>(((O59-$AN59)/($AM59-$AN59))*100)</f>
        <v>16.024340770791074</v>
      </c>
      <c r="AW59" s="134">
        <f>(((P59-$AN59)/($AM59-$AN59))*100)</f>
        <v>16.176470588235293</v>
      </c>
      <c r="AX59" s="134">
        <f>(((Q59-$AN59)/($AM59-$AN59))*100)</f>
        <v>12.880324543610547</v>
      </c>
      <c r="AY59" s="134">
        <f>(((R59-$AN59)/($AM59-$AN59))*100)</f>
        <v>17.241379310344826</v>
      </c>
      <c r="AZ59" s="134">
        <f>(((S59-$AN59)/($AM59-$AN59))*100)</f>
        <v>15.010141987829615</v>
      </c>
      <c r="BA59" s="134">
        <f>(((T59-$AN59)/($AM59-$AN59))*100)</f>
        <v>3.1440162271805274</v>
      </c>
      <c r="BB59" s="134">
        <f>(((U59-$AN59)/($AM59-$AN59))*100)</f>
        <v>22.058823529411764</v>
      </c>
      <c r="BC59" s="134">
        <f>(((V59-$AN59)/($AM59-$AN59))*100)</f>
        <v>13.438133874239352</v>
      </c>
      <c r="BD59" s="134">
        <f>(((W59-$AN59)/($AM59-$AN59))*100)</f>
        <v>22.210953346855984</v>
      </c>
      <c r="BE59" s="134">
        <f>(((X59-$AN59)/($AM59-$AN59))*100)</f>
        <v>19.117647058823529</v>
      </c>
      <c r="BF59" s="134">
        <f>(((Y59-$AN59)/($AM59-$AN59))*100)</f>
        <v>18.81338742393509</v>
      </c>
      <c r="BG59" s="134">
        <f>(((Z59-$AN59)/($AM59-$AN59))*100)</f>
        <v>25.101419878296145</v>
      </c>
      <c r="BH59" s="134">
        <f>(((AA59-$AN59)/($AM59-$AN59))*100)</f>
        <v>15.263691683569981</v>
      </c>
      <c r="BI59" s="134">
        <f>(((AB59-$AN59)/($AM59-$AN59))*100)</f>
        <v>28.803245436105477</v>
      </c>
      <c r="BJ59" s="134">
        <f>(((AC59-$AN59)/($AM59-$AN59))*100)</f>
        <v>0</v>
      </c>
      <c r="BK59" s="134">
        <f>(((AD59-$AN59)/($AM59-$AN59))*100)</f>
        <v>26.72413793103448</v>
      </c>
      <c r="BL59" s="134">
        <f>(((AE59-$AN59)/($AM59-$AN59))*100)</f>
        <v>19.979716024340771</v>
      </c>
      <c r="BM59" s="134">
        <f>(((AF59-$AN59)/($AM59-$AN59))*100)</f>
        <v>20.385395537525355</v>
      </c>
      <c r="BN59" s="134">
        <f>(((AG59-$AN59)/($AM59-$AN59))*100)</f>
        <v>11.206896551724139</v>
      </c>
      <c r="BO59" s="134">
        <f>(((AH59-$AN59)/($AM59-$AN59))*100)</f>
        <v>24.695740365111561</v>
      </c>
      <c r="BP59" s="129">
        <f t="shared" si="6"/>
        <v>100</v>
      </c>
      <c r="BQ59" s="129">
        <f t="shared" si="7"/>
        <v>0</v>
      </c>
      <c r="BR59" s="129">
        <f t="shared" si="8"/>
        <v>20.753042596348887</v>
      </c>
      <c r="BS59" s="129">
        <f t="shared" si="9"/>
        <v>18.297367493505824</v>
      </c>
      <c r="BT59" s="130">
        <f t="shared" si="10"/>
        <v>0.88167156254596168</v>
      </c>
      <c r="BU59" s="131">
        <f t="shared" si="63"/>
        <v>7.9868154158215021E-2</v>
      </c>
      <c r="BV59" s="131">
        <f t="shared" si="63"/>
        <v>0.27066430020283977</v>
      </c>
      <c r="BW59" s="131">
        <f t="shared" si="63"/>
        <v>0.27193204868154164</v>
      </c>
      <c r="BX59" s="131">
        <f t="shared" si="63"/>
        <v>1.25</v>
      </c>
      <c r="BY59" s="131">
        <f t="shared" si="63"/>
        <v>0.20030425963488843</v>
      </c>
      <c r="BZ59" s="131">
        <f t="shared" si="63"/>
        <v>0.20220588235294118</v>
      </c>
      <c r="CA59" s="131">
        <f t="shared" si="63"/>
        <v>0.16100405679513186</v>
      </c>
      <c r="CB59" s="131">
        <f t="shared" si="63"/>
        <v>0.21551724137931033</v>
      </c>
      <c r="CC59" s="131">
        <f t="shared" si="63"/>
        <v>0.18762677484787019</v>
      </c>
      <c r="CD59" s="131">
        <f t="shared" si="63"/>
        <v>3.9300202839756597E-2</v>
      </c>
      <c r="CE59" s="131">
        <f t="shared" si="63"/>
        <v>0.27573529411764708</v>
      </c>
      <c r="CF59" s="131">
        <f t="shared" si="63"/>
        <v>0.16797667342799191</v>
      </c>
      <c r="CG59" s="131">
        <f t="shared" si="63"/>
        <v>0.2776369168356998</v>
      </c>
      <c r="CH59" s="131">
        <f t="shared" si="62"/>
        <v>0.23897058823529413</v>
      </c>
      <c r="CI59" s="131">
        <f t="shared" si="62"/>
        <v>0.23516734279918863</v>
      </c>
      <c r="CJ59" s="131">
        <f t="shared" si="62"/>
        <v>0.31376774847870181</v>
      </c>
      <c r="CK59" s="131">
        <f t="shared" si="60"/>
        <v>0.19079614604462478</v>
      </c>
      <c r="CL59" s="131">
        <f t="shared" si="60"/>
        <v>0.3600405679513185</v>
      </c>
      <c r="CM59" s="131">
        <f t="shared" si="60"/>
        <v>0</v>
      </c>
      <c r="CN59" s="131">
        <f t="shared" si="26"/>
        <v>0.33405172413793105</v>
      </c>
      <c r="CO59" s="131">
        <f t="shared" si="26"/>
        <v>0.24974645030425965</v>
      </c>
      <c r="CP59" s="131">
        <f t="shared" si="26"/>
        <v>0.25481744421906694</v>
      </c>
      <c r="CQ59" s="131">
        <f t="shared" si="26"/>
        <v>0.14008620689655174</v>
      </c>
      <c r="CR59" s="131">
        <f t="shared" si="26"/>
        <v>0.30869675456389456</v>
      </c>
      <c r="CS59" s="131">
        <f t="shared" si="26"/>
        <v>1.25</v>
      </c>
      <c r="CT59" s="132">
        <f t="shared" si="61"/>
        <v>1.5973630831643004</v>
      </c>
      <c r="CU59" s="132">
        <f t="shared" si="61"/>
        <v>5.4132860040567952</v>
      </c>
      <c r="CV59" s="132">
        <f t="shared" si="61"/>
        <v>5.4386409736308323</v>
      </c>
      <c r="CW59" s="132">
        <f t="shared" si="61"/>
        <v>25</v>
      </c>
      <c r="CX59" s="132">
        <f t="shared" si="61"/>
        <v>4.0060851926977685</v>
      </c>
      <c r="CY59" s="132">
        <f t="shared" si="61"/>
        <v>4.0441176470588234</v>
      </c>
      <c r="CZ59" s="132">
        <f t="shared" si="61"/>
        <v>3.2200811359026367</v>
      </c>
      <c r="DA59" s="132">
        <f t="shared" si="61"/>
        <v>4.3103448275862064</v>
      </c>
      <c r="DB59" s="132">
        <f t="shared" si="61"/>
        <v>3.7525354969574036</v>
      </c>
      <c r="DC59" s="132">
        <f t="shared" si="59"/>
        <v>0.78600405679513186</v>
      </c>
      <c r="DD59" s="132">
        <f t="shared" si="59"/>
        <v>5.5147058823529411</v>
      </c>
      <c r="DE59" s="132">
        <f t="shared" si="59"/>
        <v>3.3595334685598379</v>
      </c>
      <c r="DF59" s="132">
        <f t="shared" si="59"/>
        <v>5.552738336713996</v>
      </c>
      <c r="DG59" s="132">
        <f t="shared" si="59"/>
        <v>4.7794117647058822</v>
      </c>
      <c r="DH59" s="132">
        <f t="shared" si="59"/>
        <v>4.7033468559837726</v>
      </c>
      <c r="DI59" s="132">
        <f t="shared" si="59"/>
        <v>6.2753549695740363</v>
      </c>
      <c r="DJ59" s="132">
        <f t="shared" si="57"/>
        <v>3.8159229208924952</v>
      </c>
      <c r="DK59" s="132">
        <f t="shared" si="57"/>
        <v>7.2008113590263694</v>
      </c>
      <c r="DL59" s="132">
        <f t="shared" si="57"/>
        <v>0</v>
      </c>
      <c r="DM59" s="132">
        <f t="shared" si="57"/>
        <v>6.6810344827586201</v>
      </c>
      <c r="DN59" s="132">
        <f t="shared" si="57"/>
        <v>4.9949290060851927</v>
      </c>
      <c r="DO59" s="132">
        <f t="shared" si="57"/>
        <v>5.0963488843813387</v>
      </c>
      <c r="DP59" s="132">
        <f t="shared" si="57"/>
        <v>2.8017241379310347</v>
      </c>
      <c r="DQ59" s="132">
        <f t="shared" si="57"/>
        <v>6.1739350912778903</v>
      </c>
      <c r="DR59" s="58"/>
    </row>
    <row r="60" spans="1:122" ht="99" thickBot="1">
      <c r="A60" s="50">
        <v>2017</v>
      </c>
      <c r="B60" s="51" t="s">
        <v>260</v>
      </c>
      <c r="C60" s="52">
        <f>+VLOOKUP(B60,'Indice por pilar'!$B$9:$C$20,2,FALSE)</f>
        <v>0.05</v>
      </c>
      <c r="D60" s="52">
        <f>+VLOOKUP(B60,[1]PONDERACIÓN!$B$22:$E$33,4,FALSE)</f>
        <v>0.25</v>
      </c>
      <c r="E60" s="53" t="s">
        <v>124</v>
      </c>
      <c r="F60" s="59" t="s">
        <v>345</v>
      </c>
      <c r="G60" s="60" t="s">
        <v>346</v>
      </c>
      <c r="H60" s="60" t="s">
        <v>347</v>
      </c>
      <c r="I60" s="60">
        <v>2016</v>
      </c>
      <c r="J60" s="60" t="s">
        <v>177</v>
      </c>
      <c r="K60" s="78">
        <v>36.51</v>
      </c>
      <c r="L60" s="78">
        <v>65.75</v>
      </c>
      <c r="M60" s="78">
        <v>63.17</v>
      </c>
      <c r="N60" s="78">
        <v>60.78</v>
      </c>
      <c r="O60" s="78">
        <v>33.24</v>
      </c>
      <c r="P60" s="78">
        <v>44.99</v>
      </c>
      <c r="Q60" s="78">
        <v>42.32</v>
      </c>
      <c r="R60" s="78">
        <v>29.09</v>
      </c>
      <c r="S60" s="78">
        <v>142.54</v>
      </c>
      <c r="T60" s="78">
        <v>14.42</v>
      </c>
      <c r="U60" s="78">
        <v>40.36</v>
      </c>
      <c r="V60" s="78">
        <v>51.57</v>
      </c>
      <c r="W60" s="78">
        <v>34.92</v>
      </c>
      <c r="X60" s="78">
        <v>34.92</v>
      </c>
      <c r="Y60" s="78">
        <v>71.11</v>
      </c>
      <c r="Z60" s="78">
        <v>58.56</v>
      </c>
      <c r="AA60" s="78">
        <v>62.62</v>
      </c>
      <c r="AB60" s="78">
        <v>82.92</v>
      </c>
      <c r="AC60" s="78">
        <v>20.54</v>
      </c>
      <c r="AD60" s="78">
        <v>53.8</v>
      </c>
      <c r="AE60" s="78">
        <v>36.340000000000003</v>
      </c>
      <c r="AF60" s="78">
        <v>102.24</v>
      </c>
      <c r="AG60" s="78">
        <v>59.34</v>
      </c>
      <c r="AH60" s="79">
        <v>19.02</v>
      </c>
      <c r="AI60" s="124">
        <f t="shared" si="53"/>
        <v>52.544583333333321</v>
      </c>
      <c r="AJ60" s="124">
        <f t="shared" si="54"/>
        <v>28.248234262503498</v>
      </c>
      <c r="AK60" s="125">
        <f t="shared" si="2"/>
        <v>0.53760506736349611</v>
      </c>
      <c r="AL60" s="125" t="str">
        <f>+HLOOKUP(AN60,$K60:$AH$68,9,FALSE)</f>
        <v>Guayas</v>
      </c>
      <c r="AM60" s="138">
        <f t="shared" si="55"/>
        <v>142.54</v>
      </c>
      <c r="AN60" s="138">
        <f t="shared" si="56"/>
        <v>14.42</v>
      </c>
      <c r="AO60" s="124">
        <f t="shared" si="5"/>
        <v>9.8848821081830778</v>
      </c>
      <c r="AP60" s="138">
        <f t="shared" si="64"/>
        <v>142.54</v>
      </c>
      <c r="AQ60" s="127">
        <f>+HLOOKUP($AQ$3,$K$3:$AH$67,58,FALSE)</f>
        <v>14.42</v>
      </c>
      <c r="AR60" s="134">
        <f>(((K60-$AN60)/($AM60-$AN60))*100)</f>
        <v>17.241648454573834</v>
      </c>
      <c r="AS60" s="134">
        <f>(((L60-$AN60)/($AM60-$AN60))*100)</f>
        <v>40.064002497658443</v>
      </c>
      <c r="AT60" s="134">
        <f>(((M60-$AN60)/($AM60-$AN60))*100)</f>
        <v>38.050265376209801</v>
      </c>
      <c r="AU60" s="134">
        <f>(((N60-$AN60)/($AM60-$AN60))*100)</f>
        <v>36.18482672494536</v>
      </c>
      <c r="AV60" s="134">
        <f>(((O60-$AN60)/($AM60-$AN60))*100)</f>
        <v>14.689353730877302</v>
      </c>
      <c r="AW60" s="134">
        <f>(((P60-$AN60)/($AM60-$AN60))*100)</f>
        <v>23.860443334374022</v>
      </c>
      <c r="AX60" s="134">
        <f>(((Q60-$AN60)/($AM60-$AN60))*100)</f>
        <v>21.776459569153918</v>
      </c>
      <c r="AY60" s="134">
        <f>(((R60-$AN60)/($AM60-$AN60))*100)</f>
        <v>11.450202934748672</v>
      </c>
      <c r="AZ60" s="134">
        <f>(((S60-$AN60)/($AM60-$AN60))*100)</f>
        <v>100</v>
      </c>
      <c r="BA60" s="134">
        <f>(((T60-$AN60)/($AM60-$AN60))*100)</f>
        <v>0</v>
      </c>
      <c r="BB60" s="134">
        <f>(((U60-$AN60)/($AM60-$AN60))*100)</f>
        <v>20.24664377146425</v>
      </c>
      <c r="BC60" s="134">
        <f>(((V60-$AN60)/($AM60-$AN60))*100)</f>
        <v>28.996253512332189</v>
      </c>
      <c r="BD60" s="134">
        <f>(((W60-$AN60)/($AM60-$AN60))*100)</f>
        <v>16.000624414611302</v>
      </c>
      <c r="BE60" s="134">
        <f>(((X60-$AN60)/($AM60-$AN60))*100)</f>
        <v>16.000624414611302</v>
      </c>
      <c r="BF60" s="134">
        <f>(((Y60-$AN60)/($AM60-$AN60))*100)</f>
        <v>44.247580393381206</v>
      </c>
      <c r="BG60" s="134">
        <f>(((Z60-$AN60)/($AM60-$AN60))*100)</f>
        <v>34.45207617858258</v>
      </c>
      <c r="BH60" s="134">
        <f>(((AA60-$AN60)/($AM60-$AN60))*100)</f>
        <v>37.620980330939737</v>
      </c>
      <c r="BI60" s="134">
        <f>(((AB60-$AN60)/($AM60-$AN60))*100)</f>
        <v>53.465501092725567</v>
      </c>
      <c r="BJ60" s="134">
        <f>(((AC60-$AN60)/($AM60-$AN60))*100)</f>
        <v>4.7767717764595687</v>
      </c>
      <c r="BK60" s="134">
        <f>(((AD60-$AN60)/($AM60-$AN60))*100)</f>
        <v>30.736809241336243</v>
      </c>
      <c r="BL60" s="134">
        <f>(((AE60-$AN60)/($AM60-$AN60))*100)</f>
        <v>17.108960349672184</v>
      </c>
      <c r="BM60" s="134">
        <f>(((AF60-$AN60)/($AM60-$AN60))*100)</f>
        <v>68.545113955666565</v>
      </c>
      <c r="BN60" s="134">
        <f>(((AG60-$AN60)/($AM60-$AN60))*100)</f>
        <v>35.060880424601933</v>
      </c>
      <c r="BO60" s="134">
        <f>(((AH60-$AN60)/($AM60-$AN60))*100)</f>
        <v>3.5903840149859505</v>
      </c>
      <c r="BP60" s="129">
        <f t="shared" si="6"/>
        <v>100</v>
      </c>
      <c r="BQ60" s="129">
        <f t="shared" si="7"/>
        <v>0</v>
      </c>
      <c r="BR60" s="129">
        <f t="shared" si="8"/>
        <v>29.756933603912998</v>
      </c>
      <c r="BS60" s="129">
        <f t="shared" si="9"/>
        <v>22.04826277123281</v>
      </c>
      <c r="BT60" s="130">
        <f t="shared" si="10"/>
        <v>0.74094538989506276</v>
      </c>
      <c r="BU60" s="131">
        <f t="shared" si="63"/>
        <v>0.21552060568217293</v>
      </c>
      <c r="BV60" s="131">
        <f t="shared" si="63"/>
        <v>0.50080003122073058</v>
      </c>
      <c r="BW60" s="131">
        <f t="shared" si="63"/>
        <v>0.47562831720262255</v>
      </c>
      <c r="BX60" s="131">
        <f t="shared" si="63"/>
        <v>0.45231033406181703</v>
      </c>
      <c r="BY60" s="131">
        <f t="shared" si="63"/>
        <v>0.1836169216359663</v>
      </c>
      <c r="BZ60" s="131">
        <f t="shared" si="63"/>
        <v>0.29825554167967527</v>
      </c>
      <c r="CA60" s="131">
        <f t="shared" si="63"/>
        <v>0.27220574461442398</v>
      </c>
      <c r="CB60" s="131">
        <f t="shared" si="63"/>
        <v>0.1431275366843584</v>
      </c>
      <c r="CC60" s="131">
        <f t="shared" si="63"/>
        <v>1.25</v>
      </c>
      <c r="CD60" s="131">
        <f t="shared" si="63"/>
        <v>0</v>
      </c>
      <c r="CE60" s="131">
        <f t="shared" si="63"/>
        <v>0.25308304714330315</v>
      </c>
      <c r="CF60" s="131">
        <f t="shared" si="63"/>
        <v>0.36245316890415236</v>
      </c>
      <c r="CG60" s="131">
        <f t="shared" si="63"/>
        <v>0.20000780518264127</v>
      </c>
      <c r="CH60" s="131">
        <f t="shared" si="62"/>
        <v>0.20000780518264127</v>
      </c>
      <c r="CI60" s="131">
        <f t="shared" si="62"/>
        <v>0.55309475491726512</v>
      </c>
      <c r="CJ60" s="131">
        <f t="shared" si="62"/>
        <v>0.43065095223228228</v>
      </c>
      <c r="CK60" s="131">
        <f t="shared" si="60"/>
        <v>0.47026225413674672</v>
      </c>
      <c r="CL60" s="131">
        <f t="shared" si="60"/>
        <v>0.66831876365906961</v>
      </c>
      <c r="CM60" s="131">
        <f t="shared" si="60"/>
        <v>5.9709647205744613E-2</v>
      </c>
      <c r="CN60" s="131">
        <f t="shared" si="26"/>
        <v>0.38421011551670303</v>
      </c>
      <c r="CO60" s="131">
        <f t="shared" si="26"/>
        <v>0.2138620043709023</v>
      </c>
      <c r="CP60" s="131">
        <f t="shared" si="26"/>
        <v>0.85681392444583215</v>
      </c>
      <c r="CQ60" s="131">
        <f t="shared" si="26"/>
        <v>0.43826100530752421</v>
      </c>
      <c r="CR60" s="131">
        <f t="shared" si="26"/>
        <v>4.4879800187324383E-2</v>
      </c>
      <c r="CS60" s="131">
        <f t="shared" si="26"/>
        <v>1.25</v>
      </c>
      <c r="CT60" s="132">
        <f t="shared" si="61"/>
        <v>4.3104121136434586</v>
      </c>
      <c r="CU60" s="132">
        <f t="shared" si="61"/>
        <v>10.016000624414611</v>
      </c>
      <c r="CV60" s="132">
        <f t="shared" si="61"/>
        <v>9.5125663440524502</v>
      </c>
      <c r="CW60" s="132">
        <f t="shared" si="61"/>
        <v>9.04620668123634</v>
      </c>
      <c r="CX60" s="132">
        <f t="shared" si="61"/>
        <v>3.6723384327193256</v>
      </c>
      <c r="CY60" s="132">
        <f t="shared" si="61"/>
        <v>5.9651108335935055</v>
      </c>
      <c r="CZ60" s="132">
        <f t="shared" si="61"/>
        <v>5.4441148922884794</v>
      </c>
      <c r="DA60" s="132">
        <f t="shared" si="61"/>
        <v>2.8625507336871681</v>
      </c>
      <c r="DB60" s="132">
        <f t="shared" si="61"/>
        <v>25</v>
      </c>
      <c r="DC60" s="132">
        <f t="shared" si="59"/>
        <v>0</v>
      </c>
      <c r="DD60" s="132">
        <f t="shared" si="59"/>
        <v>5.0616609428660624</v>
      </c>
      <c r="DE60" s="132">
        <f t="shared" si="59"/>
        <v>7.2490633780830471</v>
      </c>
      <c r="DF60" s="132">
        <f t="shared" si="59"/>
        <v>4.0001561036528255</v>
      </c>
      <c r="DG60" s="132">
        <f t="shared" si="59"/>
        <v>4.0001561036528255</v>
      </c>
      <c r="DH60" s="132">
        <f t="shared" si="59"/>
        <v>11.061895098345301</v>
      </c>
      <c r="DI60" s="132">
        <f t="shared" si="59"/>
        <v>8.6130190446456449</v>
      </c>
      <c r="DJ60" s="132">
        <f t="shared" si="57"/>
        <v>9.4052450827349343</v>
      </c>
      <c r="DK60" s="132">
        <f t="shared" si="57"/>
        <v>13.366375273181392</v>
      </c>
      <c r="DL60" s="132">
        <f t="shared" si="57"/>
        <v>1.1941929441148922</v>
      </c>
      <c r="DM60" s="132">
        <f t="shared" si="57"/>
        <v>7.6842023103340606</v>
      </c>
      <c r="DN60" s="132">
        <f t="shared" si="57"/>
        <v>4.2772400874180461</v>
      </c>
      <c r="DO60" s="132">
        <f t="shared" si="57"/>
        <v>17.136278488916641</v>
      </c>
      <c r="DP60" s="132">
        <f t="shared" si="57"/>
        <v>8.7652201061504833</v>
      </c>
      <c r="DQ60" s="132">
        <f t="shared" si="57"/>
        <v>0.89759600374648763</v>
      </c>
      <c r="DR60" s="58"/>
    </row>
    <row r="61" spans="1:122" ht="70">
      <c r="A61" s="50">
        <v>2017</v>
      </c>
      <c r="B61" s="51" t="s">
        <v>260</v>
      </c>
      <c r="C61" s="52">
        <f>+VLOOKUP(B61,'Indice por pilar'!$B$9:$C$20,2,FALSE)</f>
        <v>0.05</v>
      </c>
      <c r="D61" s="52">
        <f>+VLOOKUP(B61,[1]PONDERACIÓN!$B$22:$E$33,4,FALSE)</f>
        <v>0.25</v>
      </c>
      <c r="E61" s="53" t="s">
        <v>124</v>
      </c>
      <c r="F61" s="59" t="s">
        <v>267</v>
      </c>
      <c r="G61" s="60" t="s">
        <v>268</v>
      </c>
      <c r="H61" s="60" t="s">
        <v>266</v>
      </c>
      <c r="I61" s="60">
        <v>2016</v>
      </c>
      <c r="J61" s="60" t="s">
        <v>177</v>
      </c>
      <c r="K61" s="68">
        <v>182.55171000000001</v>
      </c>
      <c r="L61" s="68">
        <v>378.08634000000001</v>
      </c>
      <c r="M61" s="68">
        <v>419.6429</v>
      </c>
      <c r="N61" s="68">
        <v>407.23541999999998</v>
      </c>
      <c r="O61" s="68">
        <v>250.43716000000001</v>
      </c>
      <c r="P61" s="68">
        <v>275.21235999999999</v>
      </c>
      <c r="Q61" s="68">
        <v>279.32724000000002</v>
      </c>
      <c r="R61" s="68">
        <v>230.63593</v>
      </c>
      <c r="S61" s="68">
        <v>570.15251999999998</v>
      </c>
      <c r="T61" s="68">
        <v>236.2901</v>
      </c>
      <c r="U61" s="68">
        <v>334.43176999999997</v>
      </c>
      <c r="V61" s="68">
        <v>325.83827000000002</v>
      </c>
      <c r="W61" s="68">
        <v>244.44399000000001</v>
      </c>
      <c r="X61" s="68">
        <v>201.38844</v>
      </c>
      <c r="Y61" s="68">
        <v>334.20558999999997</v>
      </c>
      <c r="Z61" s="68">
        <v>400.17959000000002</v>
      </c>
      <c r="AA61" s="68">
        <v>258.31905</v>
      </c>
      <c r="AB61" s="68">
        <v>483.69265000000001</v>
      </c>
      <c r="AC61" s="68">
        <v>318.37259</v>
      </c>
      <c r="AD61" s="68">
        <v>292.93606</v>
      </c>
      <c r="AE61" s="68">
        <v>299.79899999999998</v>
      </c>
      <c r="AF61" s="68">
        <v>465.73973000000001</v>
      </c>
      <c r="AG61" s="68">
        <v>525.6019</v>
      </c>
      <c r="AH61" s="69">
        <v>260.86034999999998</v>
      </c>
      <c r="AI61" s="124">
        <f t="shared" si="53"/>
        <v>332.30752749999994</v>
      </c>
      <c r="AJ61" s="124">
        <f t="shared" si="54"/>
        <v>103.76419655093915</v>
      </c>
      <c r="AK61" s="125">
        <f t="shared" si="2"/>
        <v>0.31225352411235752</v>
      </c>
      <c r="AL61" s="125" t="str">
        <f>+HLOOKUP(AN61,$K61:$AH$68,8,FALSE)</f>
        <v>Azuay</v>
      </c>
      <c r="AM61" s="138">
        <f t="shared" si="55"/>
        <v>570.15251999999998</v>
      </c>
      <c r="AN61" s="138">
        <f t="shared" si="56"/>
        <v>182.55171000000001</v>
      </c>
      <c r="AO61" s="124">
        <f t="shared" si="5"/>
        <v>3.1232384511763813</v>
      </c>
      <c r="AP61" s="138">
        <f t="shared" si="64"/>
        <v>570.15251999999998</v>
      </c>
      <c r="AQ61" s="127">
        <f>+HLOOKUP($AQ$3,$K$3:$AH$67,59,FALSE)</f>
        <v>236.2901</v>
      </c>
      <c r="AR61" s="128">
        <f>(((K61-$AN61)/($AM61-$AN61))*100)</f>
        <v>0</v>
      </c>
      <c r="AS61" s="128">
        <f>(((L61-$AN61)/($AM61-$AN61))*100)</f>
        <v>50.447425535565834</v>
      </c>
      <c r="AT61" s="128">
        <f>(((M61-$AN61)/($AM61-$AN61))*100)</f>
        <v>61.168909837933519</v>
      </c>
      <c r="AU61" s="128">
        <f>(((N61-$AN61)/($AM61-$AN61))*100)</f>
        <v>57.967812296367484</v>
      </c>
      <c r="AV61" s="128">
        <f>(((O61-$AN61)/($AM61-$AN61))*100)</f>
        <v>17.514269384524763</v>
      </c>
      <c r="AW61" s="128">
        <f>(((P61-$AN61)/($AM61-$AN61))*100)</f>
        <v>23.906206491157743</v>
      </c>
      <c r="AX61" s="128">
        <f>(((Q61-$AN61)/($AM61-$AN61))*100)</f>
        <v>24.96783481954024</v>
      </c>
      <c r="AY61" s="128">
        <f>(((R61-$AN61)/($AM61-$AN61))*100)</f>
        <v>12.405603589940895</v>
      </c>
      <c r="AZ61" s="128">
        <f>(((S61-$AN61)/($AM61-$AN61))*100)</f>
        <v>100</v>
      </c>
      <c r="BA61" s="128">
        <f>(((T61-$AN61)/($AM61-$AN61))*100)</f>
        <v>13.86436473133273</v>
      </c>
      <c r="BB61" s="128">
        <f>(((U61-$AN61)/($AM61-$AN61))*100)</f>
        <v>39.184660114616364</v>
      </c>
      <c r="BC61" s="128">
        <f>(((V61-$AN61)/($AM61-$AN61))*100)</f>
        <v>36.967559484718315</v>
      </c>
      <c r="BD61" s="128">
        <f>(((W61-$AN61)/($AM61-$AN61))*100)</f>
        <v>15.968047125598114</v>
      </c>
      <c r="BE61" s="128">
        <f>(((X61-$AN61)/($AM61-$AN61))*100)</f>
        <v>4.8598273053144521</v>
      </c>
      <c r="BF61" s="128">
        <f>(((Y61-$AN61)/($AM61-$AN61))*100)</f>
        <v>39.126306263395058</v>
      </c>
      <c r="BG61" s="128">
        <f>(((Z61-$AN61)/($AM61-$AN61))*100)</f>
        <v>56.147426523695863</v>
      </c>
      <c r="BH61" s="128">
        <f>(((AA61-$AN61)/($AM61-$AN61))*100)</f>
        <v>19.547776486844803</v>
      </c>
      <c r="BI61" s="128">
        <f>(((AB61-$AN61)/($AM61-$AN61))*100)</f>
        <v>77.693578607330565</v>
      </c>
      <c r="BJ61" s="128">
        <f>(((AC61-$AN61)/($AM61-$AN61))*100)</f>
        <v>35.041433478944484</v>
      </c>
      <c r="BK61" s="128">
        <f>(((AD61-$AN61)/($AM61-$AN61))*100)</f>
        <v>28.478874953847487</v>
      </c>
      <c r="BL61" s="128">
        <f>(((AE61-$AN61)/($AM61-$AN61))*100)</f>
        <v>30.249495608639197</v>
      </c>
      <c r="BM61" s="128">
        <f>(((AF61-$AN61)/($AM61-$AN61))*100)</f>
        <v>73.061771981333067</v>
      </c>
      <c r="BN61" s="128">
        <f>(((AG61-$AN61)/($AM61-$AN61))*100)</f>
        <v>88.506056011596058</v>
      </c>
      <c r="BO61" s="128">
        <f>(((AH61-$AN61)/($AM61-$AN61))*100)</f>
        <v>20.203425271479688</v>
      </c>
      <c r="BP61" s="129">
        <f t="shared" si="6"/>
        <v>100</v>
      </c>
      <c r="BQ61" s="129">
        <f t="shared" si="7"/>
        <v>0</v>
      </c>
      <c r="BR61" s="129">
        <f t="shared" si="8"/>
        <v>38.636611079321526</v>
      </c>
      <c r="BS61" s="129">
        <f t="shared" si="9"/>
        <v>26.770892597190148</v>
      </c>
      <c r="BT61" s="130">
        <f t="shared" si="10"/>
        <v>0.69288925320673478</v>
      </c>
      <c r="BU61" s="131">
        <f t="shared" si="63"/>
        <v>0</v>
      </c>
      <c r="BV61" s="131">
        <f t="shared" si="63"/>
        <v>0.630592819194573</v>
      </c>
      <c r="BW61" s="131">
        <f t="shared" si="63"/>
        <v>0.76461137297416903</v>
      </c>
      <c r="BX61" s="131">
        <f t="shared" si="63"/>
        <v>0.72459765370459361</v>
      </c>
      <c r="BY61" s="131">
        <f t="shared" si="63"/>
        <v>0.21892836730655954</v>
      </c>
      <c r="BZ61" s="131">
        <f t="shared" si="63"/>
        <v>0.29882758113947178</v>
      </c>
      <c r="CA61" s="131">
        <f t="shared" si="63"/>
        <v>0.312097935244253</v>
      </c>
      <c r="CB61" s="131">
        <f t="shared" si="63"/>
        <v>0.15507004487426121</v>
      </c>
      <c r="CC61" s="131">
        <f t="shared" si="63"/>
        <v>1.25</v>
      </c>
      <c r="CD61" s="131">
        <f t="shared" si="63"/>
        <v>0.17330455914165913</v>
      </c>
      <c r="CE61" s="131">
        <f t="shared" si="63"/>
        <v>0.48980825143270457</v>
      </c>
      <c r="CF61" s="131">
        <f t="shared" si="63"/>
        <v>0.46209449355897897</v>
      </c>
      <c r="CG61" s="131">
        <f t="shared" si="63"/>
        <v>0.19960058906997644</v>
      </c>
      <c r="CH61" s="131">
        <f t="shared" si="62"/>
        <v>6.0747841316430656E-2</v>
      </c>
      <c r="CI61" s="131">
        <f t="shared" si="62"/>
        <v>0.48907882829243826</v>
      </c>
      <c r="CJ61" s="131">
        <f t="shared" si="62"/>
        <v>0.70184283154619831</v>
      </c>
      <c r="CK61" s="131">
        <f t="shared" si="60"/>
        <v>0.24434720608556004</v>
      </c>
      <c r="CL61" s="131">
        <f t="shared" si="60"/>
        <v>0.97116973259163208</v>
      </c>
      <c r="CM61" s="131">
        <f t="shared" si="60"/>
        <v>0.43801791848680605</v>
      </c>
      <c r="CN61" s="131">
        <f t="shared" si="26"/>
        <v>0.3559859369230936</v>
      </c>
      <c r="CO61" s="131">
        <f t="shared" si="26"/>
        <v>0.37811869510799001</v>
      </c>
      <c r="CP61" s="131">
        <f t="shared" si="26"/>
        <v>0.91327214976666338</v>
      </c>
      <c r="CQ61" s="131">
        <f t="shared" si="26"/>
        <v>1.1063257001449507</v>
      </c>
      <c r="CR61" s="131">
        <f t="shared" si="26"/>
        <v>0.25254281589349609</v>
      </c>
      <c r="CS61" s="131">
        <f t="shared" si="26"/>
        <v>1.25</v>
      </c>
      <c r="CT61" s="132">
        <f t="shared" si="61"/>
        <v>0</v>
      </c>
      <c r="CU61" s="132">
        <f t="shared" si="61"/>
        <v>12.611856383891459</v>
      </c>
      <c r="CV61" s="132">
        <f t="shared" si="61"/>
        <v>15.29222745948338</v>
      </c>
      <c r="CW61" s="132">
        <f t="shared" si="61"/>
        <v>14.491953074091871</v>
      </c>
      <c r="CX61" s="132">
        <f t="shared" si="61"/>
        <v>4.3785673461311907</v>
      </c>
      <c r="CY61" s="132">
        <f t="shared" si="61"/>
        <v>5.9765516227894357</v>
      </c>
      <c r="CZ61" s="132">
        <f t="shared" si="61"/>
        <v>6.24195870488506</v>
      </c>
      <c r="DA61" s="132">
        <f t="shared" si="61"/>
        <v>3.1014008974852239</v>
      </c>
      <c r="DB61" s="132">
        <f t="shared" si="61"/>
        <v>25</v>
      </c>
      <c r="DC61" s="132">
        <f t="shared" si="59"/>
        <v>3.4660911828331824</v>
      </c>
      <c r="DD61" s="132">
        <f t="shared" si="59"/>
        <v>9.7961650286540909</v>
      </c>
      <c r="DE61" s="132">
        <f t="shared" si="59"/>
        <v>9.2418898711795787</v>
      </c>
      <c r="DF61" s="132">
        <f t="shared" si="59"/>
        <v>3.9920117813995284</v>
      </c>
      <c r="DG61" s="132">
        <f t="shared" si="59"/>
        <v>1.214956826328613</v>
      </c>
      <c r="DH61" s="132">
        <f t="shared" si="59"/>
        <v>9.7815765658487646</v>
      </c>
      <c r="DI61" s="132">
        <f t="shared" si="59"/>
        <v>14.036856630923966</v>
      </c>
      <c r="DJ61" s="132">
        <f t="shared" si="57"/>
        <v>4.8869441217112009</v>
      </c>
      <c r="DK61" s="132">
        <f t="shared" si="57"/>
        <v>19.423394651832641</v>
      </c>
      <c r="DL61" s="132">
        <f t="shared" si="57"/>
        <v>8.7603583697361209</v>
      </c>
      <c r="DM61" s="132">
        <f t="shared" si="57"/>
        <v>7.1197187384618719</v>
      </c>
      <c r="DN61" s="132">
        <f t="shared" si="57"/>
        <v>7.5623739021597993</v>
      </c>
      <c r="DO61" s="132">
        <f t="shared" si="57"/>
        <v>18.265442995333267</v>
      </c>
      <c r="DP61" s="132">
        <f t="shared" si="57"/>
        <v>22.126514002899015</v>
      </c>
      <c r="DQ61" s="132">
        <f t="shared" si="57"/>
        <v>5.050856317869922</v>
      </c>
      <c r="DR61" s="58"/>
    </row>
    <row r="62" spans="1:122" ht="240">
      <c r="A62" s="50">
        <v>2017</v>
      </c>
      <c r="B62" s="51" t="s">
        <v>269</v>
      </c>
      <c r="C62" s="52">
        <f>+VLOOKUP(B62,'Indice por pilar'!$B$9:$C$20,2,FALSE)</f>
        <v>0.1</v>
      </c>
      <c r="D62" s="52">
        <f>+VLOOKUP(B62,[1]PONDERACIÓN!$B$22:$E$33,4,FALSE)</f>
        <v>0.16666666666666666</v>
      </c>
      <c r="E62" s="53" t="s">
        <v>124</v>
      </c>
      <c r="F62" s="59" t="s">
        <v>270</v>
      </c>
      <c r="G62" s="60" t="s">
        <v>271</v>
      </c>
      <c r="H62" s="89" t="s">
        <v>371</v>
      </c>
      <c r="I62" s="60">
        <v>2010</v>
      </c>
      <c r="J62" s="60" t="s">
        <v>128</v>
      </c>
      <c r="K62" s="62">
        <v>86</v>
      </c>
      <c r="L62" s="62">
        <v>47</v>
      </c>
      <c r="M62" s="62">
        <v>72</v>
      </c>
      <c r="N62" s="62">
        <v>44</v>
      </c>
      <c r="O62" s="62">
        <v>71</v>
      </c>
      <c r="P62" s="62">
        <v>67</v>
      </c>
      <c r="Q62" s="62">
        <v>104</v>
      </c>
      <c r="R62" s="62">
        <v>33</v>
      </c>
      <c r="S62" s="62">
        <v>3</v>
      </c>
      <c r="T62" s="62">
        <v>236</v>
      </c>
      <c r="U62" s="62">
        <v>87</v>
      </c>
      <c r="V62" s="62">
        <v>41</v>
      </c>
      <c r="W62" s="62">
        <v>108</v>
      </c>
      <c r="X62" s="62">
        <v>72</v>
      </c>
      <c r="Y62" s="62">
        <v>6</v>
      </c>
      <c r="Z62" s="62">
        <v>8</v>
      </c>
      <c r="AA62" s="62">
        <v>6</v>
      </c>
      <c r="AB62" s="62">
        <v>3</v>
      </c>
      <c r="AC62" s="62">
        <v>270</v>
      </c>
      <c r="AD62" s="62">
        <v>10</v>
      </c>
      <c r="AE62" s="62">
        <v>149</v>
      </c>
      <c r="AF62" s="62">
        <v>9</v>
      </c>
      <c r="AG62" s="62">
        <v>84</v>
      </c>
      <c r="AH62" s="63">
        <v>107</v>
      </c>
      <c r="AI62" s="146">
        <v>56</v>
      </c>
      <c r="AJ62" s="124">
        <f t="shared" si="54"/>
        <v>69.218607178345806</v>
      </c>
      <c r="AK62" s="125">
        <f t="shared" si="2"/>
        <v>1.2360465567561751</v>
      </c>
      <c r="AL62" s="125" t="str">
        <f>+HLOOKUP(AN62,$K62:$AH$68,7,FALSE)</f>
        <v>Galápagos</v>
      </c>
      <c r="AM62" s="133">
        <f t="shared" si="55"/>
        <v>270</v>
      </c>
      <c r="AN62" s="133">
        <f t="shared" si="56"/>
        <v>3</v>
      </c>
      <c r="AO62" s="124">
        <f t="shared" si="5"/>
        <v>90</v>
      </c>
      <c r="AP62" s="133">
        <f t="shared" si="64"/>
        <v>270</v>
      </c>
      <c r="AQ62" s="127">
        <f>+HLOOKUP($AQ$3,$K$3:$AH$67,60,FALSE)</f>
        <v>236</v>
      </c>
      <c r="AR62" s="134">
        <f>(((K62-$AN62)/($AM62-$AN62))*100)</f>
        <v>31.086142322097377</v>
      </c>
      <c r="AS62" s="134">
        <f>(((L62-$AN62)/($AM62-$AN62))*100)</f>
        <v>16.479400749063668</v>
      </c>
      <c r="AT62" s="134">
        <f>(((M62-$AN62)/($AM62-$AN62))*100)</f>
        <v>25.842696629213485</v>
      </c>
      <c r="AU62" s="134">
        <f>(((N62-$AN62)/($AM62-$AN62))*100)</f>
        <v>15.355805243445692</v>
      </c>
      <c r="AV62" s="134">
        <f>(((O62-$AN62)/($AM62-$AN62))*100)</f>
        <v>25.468164794007492</v>
      </c>
      <c r="AW62" s="134">
        <f>(((P62-$AN62)/($AM62-$AN62))*100)</f>
        <v>23.970037453183522</v>
      </c>
      <c r="AX62" s="134">
        <f>(((Q62-$AN62)/($AM62-$AN62))*100)</f>
        <v>37.827715355805239</v>
      </c>
      <c r="AY62" s="134">
        <f>(((R62-$AN62)/($AM62-$AN62))*100)</f>
        <v>11.235955056179774</v>
      </c>
      <c r="AZ62" s="134">
        <f>(((S62-$AN62)/($AM62-$AN62))*100)</f>
        <v>0</v>
      </c>
      <c r="BA62" s="134">
        <f>(((T62-$AN62)/($AM62-$AN62))*100)</f>
        <v>87.265917602996254</v>
      </c>
      <c r="BB62" s="134">
        <f>(((U62-$AN62)/($AM62-$AN62))*100)</f>
        <v>31.460674157303369</v>
      </c>
      <c r="BC62" s="134">
        <f>(((V62-$AN62)/($AM62-$AN62))*100)</f>
        <v>14.232209737827715</v>
      </c>
      <c r="BD62" s="134">
        <f>(((W62-$AN62)/($AM62-$AN62))*100)</f>
        <v>39.325842696629216</v>
      </c>
      <c r="BE62" s="134">
        <f>(((X62-$AN62)/($AM62-$AN62))*100)</f>
        <v>25.842696629213485</v>
      </c>
      <c r="BF62" s="134">
        <f>(((Y62-$AN62)/($AM62-$AN62))*100)</f>
        <v>1.1235955056179776</v>
      </c>
      <c r="BG62" s="134">
        <f>(((Z62-$AN62)/($AM62-$AN62))*100)</f>
        <v>1.8726591760299627</v>
      </c>
      <c r="BH62" s="134">
        <f>(((AA62-$AN62)/($AM62-$AN62))*100)</f>
        <v>1.1235955056179776</v>
      </c>
      <c r="BI62" s="134">
        <f>(((AB62-$AN62)/($AM62-$AN62))*100)</f>
        <v>0</v>
      </c>
      <c r="BJ62" s="134">
        <f>(((AC62-$AN62)/($AM62-$AN62))*100)</f>
        <v>100</v>
      </c>
      <c r="BK62" s="134">
        <f>(((AD62-$AN62)/($AM62-$AN62))*100)</f>
        <v>2.6217228464419478</v>
      </c>
      <c r="BL62" s="134">
        <f>(((AE62-$AN62)/($AM62-$AN62))*100)</f>
        <v>54.68164794007491</v>
      </c>
      <c r="BM62" s="134">
        <f>(((AF62-$AN62)/($AM62-$AN62))*100)</f>
        <v>2.2471910112359552</v>
      </c>
      <c r="BN62" s="134">
        <f>(((AG62-$AN62)/($AM62-$AN62))*100)</f>
        <v>30.337078651685395</v>
      </c>
      <c r="BO62" s="134">
        <f>(((AH62-$AN62)/($AM62-$AN62))*100)</f>
        <v>38.951310861423224</v>
      </c>
      <c r="BP62" s="129">
        <f t="shared" si="6"/>
        <v>100</v>
      </c>
      <c r="BQ62" s="129">
        <f t="shared" si="7"/>
        <v>0</v>
      </c>
      <c r="BR62" s="129">
        <f t="shared" si="8"/>
        <v>25.764669163545562</v>
      </c>
      <c r="BS62" s="129">
        <f t="shared" si="9"/>
        <v>25.924571976908545</v>
      </c>
      <c r="BT62" s="130">
        <f t="shared" si="10"/>
        <v>1.0062062824229558</v>
      </c>
      <c r="BU62" s="131">
        <f t="shared" si="63"/>
        <v>0.51810237203495624</v>
      </c>
      <c r="BV62" s="131">
        <f t="shared" si="63"/>
        <v>0.27465667915106112</v>
      </c>
      <c r="BW62" s="131">
        <f t="shared" si="63"/>
        <v>0.43071161048689144</v>
      </c>
      <c r="BX62" s="131">
        <f t="shared" si="63"/>
        <v>0.25593008739076151</v>
      </c>
      <c r="BY62" s="131">
        <f t="shared" si="63"/>
        <v>0.42446941323345821</v>
      </c>
      <c r="BZ62" s="131">
        <f t="shared" si="63"/>
        <v>0.39950062421972532</v>
      </c>
      <c r="CA62" s="131">
        <f t="shared" si="63"/>
        <v>0.63046192259675404</v>
      </c>
      <c r="CB62" s="131">
        <f t="shared" si="63"/>
        <v>0.18726591760299621</v>
      </c>
      <c r="CC62" s="131">
        <f t="shared" si="63"/>
        <v>0</v>
      </c>
      <c r="CD62" s="131">
        <f t="shared" si="63"/>
        <v>1.4544319600499374</v>
      </c>
      <c r="CE62" s="131">
        <f t="shared" si="63"/>
        <v>0.52434456928838946</v>
      </c>
      <c r="CF62" s="131">
        <f t="shared" si="63"/>
        <v>0.23720349563046189</v>
      </c>
      <c r="CG62" s="131">
        <f t="shared" si="63"/>
        <v>0.65543071161048694</v>
      </c>
      <c r="CH62" s="131">
        <f t="shared" si="62"/>
        <v>0.43071161048689144</v>
      </c>
      <c r="CI62" s="131">
        <f t="shared" si="62"/>
        <v>1.8726591760299626E-2</v>
      </c>
      <c r="CJ62" s="131">
        <f t="shared" si="62"/>
        <v>3.1210986267166042E-2</v>
      </c>
      <c r="CK62" s="131">
        <f t="shared" si="60"/>
        <v>1.8726591760299626E-2</v>
      </c>
      <c r="CL62" s="131">
        <f t="shared" si="60"/>
        <v>0</v>
      </c>
      <c r="CM62" s="131">
        <f t="shared" si="60"/>
        <v>1.6666666666666665</v>
      </c>
      <c r="CN62" s="131">
        <f t="shared" si="26"/>
        <v>4.3695380774032462E-2</v>
      </c>
      <c r="CO62" s="131">
        <f t="shared" si="26"/>
        <v>0.91136079900124856</v>
      </c>
      <c r="CP62" s="131">
        <f t="shared" si="26"/>
        <v>3.7453183520599252E-2</v>
      </c>
      <c r="CQ62" s="131">
        <f t="shared" si="26"/>
        <v>0.5056179775280899</v>
      </c>
      <c r="CR62" s="131">
        <f t="shared" si="26"/>
        <v>0.64918851435705371</v>
      </c>
      <c r="CS62" s="131">
        <f t="shared" si="26"/>
        <v>1.6666666666666665</v>
      </c>
      <c r="CT62" s="132">
        <f t="shared" si="61"/>
        <v>5.1810237203495628</v>
      </c>
      <c r="CU62" s="132">
        <f t="shared" si="61"/>
        <v>2.7465667915106113</v>
      </c>
      <c r="CV62" s="132">
        <f t="shared" si="61"/>
        <v>4.3071161048689142</v>
      </c>
      <c r="CW62" s="132">
        <f t="shared" si="61"/>
        <v>2.5593008739076151</v>
      </c>
      <c r="CX62" s="132">
        <f t="shared" si="61"/>
        <v>4.2446941323345815</v>
      </c>
      <c r="CY62" s="132">
        <f t="shared" si="61"/>
        <v>3.9950062421972534</v>
      </c>
      <c r="CZ62" s="132">
        <f t="shared" si="61"/>
        <v>6.3046192259675395</v>
      </c>
      <c r="DA62" s="132">
        <f t="shared" si="61"/>
        <v>1.8726591760299622</v>
      </c>
      <c r="DB62" s="132">
        <f t="shared" si="61"/>
        <v>0</v>
      </c>
      <c r="DC62" s="132">
        <f t="shared" si="59"/>
        <v>14.544319600499374</v>
      </c>
      <c r="DD62" s="132">
        <f t="shared" si="59"/>
        <v>5.2434456928838946</v>
      </c>
      <c r="DE62" s="132">
        <f t="shared" si="59"/>
        <v>2.3720349563046188</v>
      </c>
      <c r="DF62" s="132">
        <f t="shared" si="59"/>
        <v>6.5543071161048694</v>
      </c>
      <c r="DG62" s="132">
        <f t="shared" si="59"/>
        <v>4.3071161048689142</v>
      </c>
      <c r="DH62" s="132">
        <f t="shared" si="59"/>
        <v>0.18726591760299627</v>
      </c>
      <c r="DI62" s="132">
        <f t="shared" si="59"/>
        <v>0.31210986267166041</v>
      </c>
      <c r="DJ62" s="132">
        <f t="shared" si="57"/>
        <v>0.18726591760299627</v>
      </c>
      <c r="DK62" s="132">
        <f t="shared" si="57"/>
        <v>0</v>
      </c>
      <c r="DL62" s="132">
        <f t="shared" si="57"/>
        <v>16.666666666666664</v>
      </c>
      <c r="DM62" s="132">
        <f t="shared" si="57"/>
        <v>0.43695380774032461</v>
      </c>
      <c r="DN62" s="132">
        <f t="shared" si="57"/>
        <v>9.1136079900124844</v>
      </c>
      <c r="DO62" s="132">
        <f t="shared" si="57"/>
        <v>0.37453183520599254</v>
      </c>
      <c r="DP62" s="132">
        <f t="shared" si="57"/>
        <v>5.0561797752808992</v>
      </c>
      <c r="DQ62" s="132">
        <f t="shared" si="57"/>
        <v>6.4918851435705367</v>
      </c>
      <c r="DR62" s="58"/>
    </row>
    <row r="63" spans="1:122" ht="271" thickBot="1">
      <c r="A63" s="50">
        <v>2017</v>
      </c>
      <c r="B63" s="51" t="s">
        <v>269</v>
      </c>
      <c r="C63" s="52">
        <f>+VLOOKUP(B63,'Indice por pilar'!$B$9:$C$20,2,FALSE)</f>
        <v>0.1</v>
      </c>
      <c r="D63" s="52">
        <f>+VLOOKUP(B63,[1]PONDERACIÓN!$B$22:$E$33,4,FALSE)</f>
        <v>0.16666666666666666</v>
      </c>
      <c r="E63" s="53" t="s">
        <v>124</v>
      </c>
      <c r="F63" s="59" t="s">
        <v>272</v>
      </c>
      <c r="G63" s="60" t="s">
        <v>273</v>
      </c>
      <c r="H63" s="102" t="s">
        <v>372</v>
      </c>
      <c r="I63" s="60">
        <v>2010</v>
      </c>
      <c r="J63" s="60" t="s">
        <v>131</v>
      </c>
      <c r="K63" s="64">
        <v>0.53420000000000001</v>
      </c>
      <c r="L63" s="64">
        <v>0.2838</v>
      </c>
      <c r="M63" s="64">
        <v>0.42649999999999999</v>
      </c>
      <c r="N63" s="64">
        <v>0.50139999999999996</v>
      </c>
      <c r="O63" s="64">
        <v>0.41470000000000001</v>
      </c>
      <c r="P63" s="64">
        <v>0.28710000000000002</v>
      </c>
      <c r="Q63" s="64">
        <v>0.78190000000000004</v>
      </c>
      <c r="R63" s="64">
        <v>0.50249999999999995</v>
      </c>
      <c r="S63" s="64">
        <v>0.98529999999999995</v>
      </c>
      <c r="T63" s="64">
        <v>0.84570000000000001</v>
      </c>
      <c r="U63" s="64">
        <v>0.6048</v>
      </c>
      <c r="V63" s="64">
        <v>0.58040000000000003</v>
      </c>
      <c r="W63" s="64">
        <v>0.58650000000000002</v>
      </c>
      <c r="X63" s="64">
        <v>0.61</v>
      </c>
      <c r="Y63" s="64">
        <v>0.35310000000000002</v>
      </c>
      <c r="Z63" s="64">
        <v>0.3458</v>
      </c>
      <c r="AA63" s="64">
        <v>0.43780000000000002</v>
      </c>
      <c r="AB63" s="64">
        <v>0.51029999999999998</v>
      </c>
      <c r="AC63" s="64">
        <v>0.69589999999999996</v>
      </c>
      <c r="AD63" s="64">
        <v>0.43669999999999998</v>
      </c>
      <c r="AE63" s="64">
        <v>0.43730000000000002</v>
      </c>
      <c r="AF63" s="64">
        <v>0.4108</v>
      </c>
      <c r="AG63" s="98">
        <v>0.55300000000000005</v>
      </c>
      <c r="AH63" s="65">
        <v>0.73599999999999999</v>
      </c>
      <c r="AI63" s="124">
        <f>+AVERAGE(K63:AH63)</f>
        <v>0.53589583333333335</v>
      </c>
      <c r="AJ63" s="124">
        <f t="shared" si="54"/>
        <v>0.17552792786375873</v>
      </c>
      <c r="AK63" s="125">
        <f t="shared" si="2"/>
        <v>0.32754113196207357</v>
      </c>
      <c r="AL63" s="125" t="str">
        <f>+HLOOKUP(AN63,$K63:$AH$68,6,FALSE)</f>
        <v>Bolívar</v>
      </c>
      <c r="AM63" s="135">
        <f t="shared" si="55"/>
        <v>0.98529999999999995</v>
      </c>
      <c r="AN63" s="135">
        <f t="shared" si="56"/>
        <v>0.2838</v>
      </c>
      <c r="AO63" s="124">
        <f t="shared" si="5"/>
        <v>3.4718111346018321</v>
      </c>
      <c r="AP63" s="135">
        <f t="shared" si="64"/>
        <v>0.98529999999999995</v>
      </c>
      <c r="AQ63" s="139">
        <f>+HLOOKUP($AQ$3,$K$3:$AH$67,61,FALSE)</f>
        <v>0.84570000000000001</v>
      </c>
      <c r="AR63" s="134">
        <f>(((K63-$AN63)/($AM63-$AN63))*100)</f>
        <v>35.694939415538137</v>
      </c>
      <c r="AS63" s="134">
        <f>(((L63-$AN63)/($AM63-$AN63))*100)</f>
        <v>0</v>
      </c>
      <c r="AT63" s="134">
        <f>(((M63-$AN63)/($AM63-$AN63))*100)</f>
        <v>20.342124019957232</v>
      </c>
      <c r="AU63" s="134">
        <f>(((N63-$AN63)/($AM63-$AN63))*100)</f>
        <v>31.019244476122587</v>
      </c>
      <c r="AV63" s="134">
        <f>(((O63-$AN63)/($AM63-$AN63))*100)</f>
        <v>18.6600142551675</v>
      </c>
      <c r="AW63" s="134">
        <f>(((P63-$AN63)/($AM63-$AN63))*100)</f>
        <v>0.470420527441201</v>
      </c>
      <c r="AX63" s="134">
        <f>(((Q63-$AN63)/($AM63-$AN63))*100)</f>
        <v>71.004989308624374</v>
      </c>
      <c r="AY63" s="134">
        <f>(((R63-$AN63)/($AM63-$AN63))*100)</f>
        <v>31.176051318602987</v>
      </c>
      <c r="AZ63" s="134">
        <f>(((S63-$AN63)/($AM63-$AN63))*100)</f>
        <v>100</v>
      </c>
      <c r="BA63" s="134">
        <f>(((T63-$AN63)/($AM63-$AN63))*100)</f>
        <v>80.099786172487526</v>
      </c>
      <c r="BB63" s="134">
        <f>(((U63-$AN63)/($AM63-$AN63))*100)</f>
        <v>45.759087669280113</v>
      </c>
      <c r="BC63" s="134">
        <f>(((V63-$AN63)/($AM63-$AN63))*100)</f>
        <v>42.280826799714902</v>
      </c>
      <c r="BD63" s="134">
        <f>(((W63-$AN63)/($AM63-$AN63))*100)</f>
        <v>43.150392017106206</v>
      </c>
      <c r="BE63" s="134">
        <f>(((X63-$AN63)/($AM63-$AN63))*100)</f>
        <v>46.500356379187451</v>
      </c>
      <c r="BF63" s="134">
        <f>(((Y63-$AN63)/($AM63-$AN63))*100)</f>
        <v>9.8788310762651506</v>
      </c>
      <c r="BG63" s="134">
        <f>(((Z63-$AN63)/($AM63-$AN63))*100)</f>
        <v>8.8382038488952244</v>
      </c>
      <c r="BH63" s="134">
        <f>(((AA63-$AN63)/($AM63-$AN63))*100)</f>
        <v>21.952957947255882</v>
      </c>
      <c r="BI63" s="134">
        <f>(((AB63-$AN63)/($AM63-$AN63))*100)</f>
        <v>32.287954383464005</v>
      </c>
      <c r="BJ63" s="134">
        <f>(((AC63-$AN63)/($AM63-$AN63))*100)</f>
        <v>58.745545260156803</v>
      </c>
      <c r="BK63" s="134">
        <f>(((AD63-$AN63)/($AM63-$AN63))*100)</f>
        <v>21.796151104775475</v>
      </c>
      <c r="BL63" s="134">
        <f>(((AE63-$AN63)/($AM63-$AN63))*100)</f>
        <v>21.881682109764792</v>
      </c>
      <c r="BM63" s="134">
        <f>(((AF63-$AN63)/($AM63-$AN63))*100)</f>
        <v>18.104062722736991</v>
      </c>
      <c r="BN63" s="134">
        <f>(((AG63-$AN63)/($AM63-$AN63))*100)</f>
        <v>38.374910905203144</v>
      </c>
      <c r="BO63" s="134">
        <f>(((AH63-$AN63)/($AM63-$AN63))*100)</f>
        <v>64.461867426942263</v>
      </c>
      <c r="BP63" s="129">
        <f t="shared" si="6"/>
        <v>100</v>
      </c>
      <c r="BQ63" s="129">
        <f t="shared" si="7"/>
        <v>0</v>
      </c>
      <c r="BR63" s="129">
        <f t="shared" si="8"/>
        <v>35.936683297695417</v>
      </c>
      <c r="BS63" s="129">
        <f t="shared" si="9"/>
        <v>25.021800123130255</v>
      </c>
      <c r="BT63" s="130">
        <f t="shared" si="10"/>
        <v>0.69627460931362239</v>
      </c>
      <c r="BU63" s="131">
        <f t="shared" si="63"/>
        <v>0.59491565692563564</v>
      </c>
      <c r="BV63" s="131">
        <f t="shared" si="63"/>
        <v>0</v>
      </c>
      <c r="BW63" s="131">
        <f t="shared" si="63"/>
        <v>0.33903540033262058</v>
      </c>
      <c r="BX63" s="131">
        <f t="shared" si="63"/>
        <v>0.51698740793537645</v>
      </c>
      <c r="BY63" s="131">
        <f t="shared" si="63"/>
        <v>0.31100023758612499</v>
      </c>
      <c r="BZ63" s="131">
        <f t="shared" si="63"/>
        <v>7.8403421240200166E-3</v>
      </c>
      <c r="CA63" s="131">
        <f t="shared" si="63"/>
        <v>1.1834164884770728</v>
      </c>
      <c r="CB63" s="131">
        <f t="shared" si="63"/>
        <v>0.51960085531004974</v>
      </c>
      <c r="CC63" s="131">
        <f t="shared" si="63"/>
        <v>1.6666666666666665</v>
      </c>
      <c r="CD63" s="131">
        <f t="shared" si="63"/>
        <v>1.3349964362081255</v>
      </c>
      <c r="CE63" s="131">
        <f t="shared" si="63"/>
        <v>0.76265146115466864</v>
      </c>
      <c r="CF63" s="131">
        <f t="shared" si="63"/>
        <v>0.70468044666191498</v>
      </c>
      <c r="CG63" s="131">
        <f t="shared" si="63"/>
        <v>0.71917320028510345</v>
      </c>
      <c r="CH63" s="131">
        <f t="shared" si="62"/>
        <v>0.77500593965312414</v>
      </c>
      <c r="CI63" s="131">
        <f t="shared" si="62"/>
        <v>0.16464718460441918</v>
      </c>
      <c r="CJ63" s="131">
        <f t="shared" si="62"/>
        <v>0.14730339748158708</v>
      </c>
      <c r="CK63" s="131">
        <f t="shared" si="60"/>
        <v>0.36588263245426467</v>
      </c>
      <c r="CL63" s="131">
        <f t="shared" si="60"/>
        <v>0.53813257305773343</v>
      </c>
      <c r="CM63" s="131">
        <f t="shared" si="60"/>
        <v>0.9790924210026134</v>
      </c>
      <c r="CN63" s="131">
        <f t="shared" si="26"/>
        <v>0.36326918507959127</v>
      </c>
      <c r="CO63" s="131">
        <f t="shared" si="26"/>
        <v>0.36469470182941321</v>
      </c>
      <c r="CP63" s="131">
        <f t="shared" si="26"/>
        <v>0.30173437871228315</v>
      </c>
      <c r="CQ63" s="131">
        <f t="shared" si="26"/>
        <v>0.63958184842005239</v>
      </c>
      <c r="CR63" s="131">
        <f t="shared" si="26"/>
        <v>1.0743644571157045</v>
      </c>
      <c r="CS63" s="131">
        <f t="shared" si="26"/>
        <v>1.6666666666666665</v>
      </c>
      <c r="CT63" s="132">
        <f t="shared" si="61"/>
        <v>5.9491565692563562</v>
      </c>
      <c r="CU63" s="132">
        <f t="shared" si="61"/>
        <v>0</v>
      </c>
      <c r="CV63" s="132">
        <f t="shared" si="61"/>
        <v>3.3903540033262054</v>
      </c>
      <c r="CW63" s="132">
        <f t="shared" si="61"/>
        <v>5.1698740793537645</v>
      </c>
      <c r="CX63" s="132">
        <f t="shared" si="61"/>
        <v>3.1100023758612498</v>
      </c>
      <c r="CY63" s="132">
        <f t="shared" si="61"/>
        <v>7.8403421240200166E-2</v>
      </c>
      <c r="CZ63" s="132">
        <f t="shared" si="61"/>
        <v>11.834164884770729</v>
      </c>
      <c r="DA63" s="132">
        <f t="shared" si="61"/>
        <v>5.1960085531004978</v>
      </c>
      <c r="DB63" s="132">
        <f t="shared" si="61"/>
        <v>16.666666666666664</v>
      </c>
      <c r="DC63" s="132">
        <f t="shared" si="59"/>
        <v>13.349964362081254</v>
      </c>
      <c r="DD63" s="132">
        <f t="shared" si="59"/>
        <v>7.6265146115466855</v>
      </c>
      <c r="DE63" s="132">
        <f t="shared" si="59"/>
        <v>7.0468044666191503</v>
      </c>
      <c r="DF63" s="132">
        <f t="shared" si="59"/>
        <v>7.1917320028510341</v>
      </c>
      <c r="DG63" s="132">
        <f t="shared" si="59"/>
        <v>7.7500593965312419</v>
      </c>
      <c r="DH63" s="132">
        <f t="shared" si="59"/>
        <v>1.6464718460441916</v>
      </c>
      <c r="DI63" s="132">
        <f t="shared" si="59"/>
        <v>1.4730339748158707</v>
      </c>
      <c r="DJ63" s="132">
        <f t="shared" si="57"/>
        <v>3.6588263245426469</v>
      </c>
      <c r="DK63" s="132">
        <f t="shared" si="57"/>
        <v>5.3813257305773341</v>
      </c>
      <c r="DL63" s="132">
        <f t="shared" si="57"/>
        <v>9.7909242100261338</v>
      </c>
      <c r="DM63" s="132">
        <f t="shared" si="57"/>
        <v>3.6326918507959123</v>
      </c>
      <c r="DN63" s="132">
        <f t="shared" si="57"/>
        <v>3.6469470182941319</v>
      </c>
      <c r="DO63" s="132">
        <f t="shared" si="57"/>
        <v>3.0173437871228317</v>
      </c>
      <c r="DP63" s="132">
        <f t="shared" si="57"/>
        <v>6.3958184842005235</v>
      </c>
      <c r="DQ63" s="132">
        <f t="shared" si="57"/>
        <v>10.743644571157043</v>
      </c>
      <c r="DR63" s="58"/>
    </row>
    <row r="64" spans="1:122" ht="255">
      <c r="A64" s="50">
        <v>2017</v>
      </c>
      <c r="B64" s="51" t="s">
        <v>269</v>
      </c>
      <c r="C64" s="52">
        <f>+VLOOKUP(B64,'Indice por pilar'!$B$9:$C$20,2,FALSE)</f>
        <v>0.1</v>
      </c>
      <c r="D64" s="52">
        <f>+VLOOKUP(B64,[1]PONDERACIÓN!$B$22:$E$33,4,FALSE)</f>
        <v>0.16666666666666666</v>
      </c>
      <c r="E64" s="53" t="s">
        <v>124</v>
      </c>
      <c r="F64" s="59" t="s">
        <v>274</v>
      </c>
      <c r="G64" s="60" t="s">
        <v>275</v>
      </c>
      <c r="H64" s="103" t="s">
        <v>373</v>
      </c>
      <c r="I64" s="60">
        <v>2010</v>
      </c>
      <c r="J64" s="60" t="s">
        <v>131</v>
      </c>
      <c r="K64" s="64">
        <v>0.55420000000000003</v>
      </c>
      <c r="L64" s="64">
        <v>0.50219999999999998</v>
      </c>
      <c r="M64" s="64">
        <v>0.49440000000000001</v>
      </c>
      <c r="N64" s="64">
        <v>0.51790000000000003</v>
      </c>
      <c r="O64" s="64">
        <v>0.54920000000000002</v>
      </c>
      <c r="P64" s="64">
        <v>0.54200000000000004</v>
      </c>
      <c r="Q64" s="64">
        <v>0.52669999999999995</v>
      </c>
      <c r="R64" s="64">
        <v>0.49390000000000001</v>
      </c>
      <c r="S64" s="64">
        <v>0.63239999999999996</v>
      </c>
      <c r="T64" s="64">
        <v>0.51670000000000005</v>
      </c>
      <c r="U64" s="64">
        <v>0.53459999999999996</v>
      </c>
      <c r="V64" s="64">
        <v>0.49419999999999997</v>
      </c>
      <c r="W64" s="64">
        <v>0.48080000000000001</v>
      </c>
      <c r="X64" s="64">
        <v>0.46</v>
      </c>
      <c r="Y64" s="64">
        <v>0.54349999999999998</v>
      </c>
      <c r="Z64" s="64">
        <v>0.54479999999999995</v>
      </c>
      <c r="AA64" s="64">
        <v>0.54669999999999996</v>
      </c>
      <c r="AB64" s="64">
        <v>0.53490000000000004</v>
      </c>
      <c r="AC64" s="64">
        <v>0.5968</v>
      </c>
      <c r="AD64" s="64">
        <v>0.53800000000000003</v>
      </c>
      <c r="AE64" s="64">
        <v>0.59589999999999999</v>
      </c>
      <c r="AF64" s="64">
        <v>0.52790000000000004</v>
      </c>
      <c r="AG64" s="64">
        <v>0.45829999999999999</v>
      </c>
      <c r="AH64" s="65">
        <v>0.52649999999999997</v>
      </c>
      <c r="AI64" s="124">
        <f>+AVERAGE(K64:AH64)</f>
        <v>0.52968749999999998</v>
      </c>
      <c r="AJ64" s="124">
        <f t="shared" si="54"/>
        <v>4.097375949789455E-2</v>
      </c>
      <c r="AK64" s="125">
        <f t="shared" si="2"/>
        <v>7.7354590202514784E-2</v>
      </c>
      <c r="AL64" s="125" t="str">
        <f>+HLOOKUP(AN64,$K64:$AH$68,5,FALSE)</f>
        <v>Santa Elena</v>
      </c>
      <c r="AM64" s="135">
        <f t="shared" si="55"/>
        <v>0.63239999999999996</v>
      </c>
      <c r="AN64" s="135">
        <f t="shared" si="56"/>
        <v>0.45829999999999999</v>
      </c>
      <c r="AO64" s="124">
        <f t="shared" si="5"/>
        <v>1.3798821732489635</v>
      </c>
      <c r="AP64" s="135">
        <f t="shared" si="64"/>
        <v>0.63239999999999996</v>
      </c>
      <c r="AQ64" s="139">
        <f>+HLOOKUP($AQ$3,$K$3:$AH$67,62,FALSE)</f>
        <v>0.51670000000000005</v>
      </c>
      <c r="AR64" s="128">
        <f>(((K64-$AN64)/($AM64-$AN64))*100)</f>
        <v>55.083285468121801</v>
      </c>
      <c r="AS64" s="128">
        <f>(((L64-$AN64)/($AM64-$AN64))*100)</f>
        <v>25.215393452039059</v>
      </c>
      <c r="AT64" s="128">
        <f>(((M64-$AN64)/($AM64-$AN64))*100)</f>
        <v>20.735209649626665</v>
      </c>
      <c r="AU64" s="128">
        <f>(((N64-$AN64)/($AM64-$AN64))*100)</f>
        <v>34.233199310740979</v>
      </c>
      <c r="AV64" s="128">
        <f>(((O64-$AN64)/($AM64-$AN64))*100)</f>
        <v>52.211372774267694</v>
      </c>
      <c r="AW64" s="128">
        <f>(((P64-$AN64)/($AM64-$AN64))*100)</f>
        <v>48.075818495117787</v>
      </c>
      <c r="AX64" s="128">
        <f>(((Q64-$AN64)/($AM64-$AN64))*100)</f>
        <v>39.287765651924168</v>
      </c>
      <c r="AY64" s="128">
        <f>(((R64-$AN64)/($AM64-$AN64))*100)</f>
        <v>20.448018380241255</v>
      </c>
      <c r="AZ64" s="128">
        <f>(((S64-$AN64)/($AM64-$AN64))*100)</f>
        <v>100</v>
      </c>
      <c r="BA64" s="128">
        <f>(((T64-$AN64)/($AM64-$AN64))*100)</f>
        <v>33.543940264216012</v>
      </c>
      <c r="BB64" s="128">
        <f>(((U64-$AN64)/($AM64-$AN64))*100)</f>
        <v>43.825387708213661</v>
      </c>
      <c r="BC64" s="128">
        <f>(((V64-$AN64)/($AM64-$AN64))*100)</f>
        <v>20.620333141872482</v>
      </c>
      <c r="BD64" s="128">
        <f>(((W64-$AN64)/($AM64-$AN64))*100)</f>
        <v>12.923607122343494</v>
      </c>
      <c r="BE64" s="128">
        <f>(((X64-$AN64)/($AM64-$AN64))*100)</f>
        <v>0.97645031591041642</v>
      </c>
      <c r="BF64" s="128">
        <f>(((Y64-$AN64)/($AM64-$AN64))*100)</f>
        <v>48.937392303273988</v>
      </c>
      <c r="BG64" s="128">
        <f>(((Z64-$AN64)/($AM64-$AN64))*100)</f>
        <v>49.684089603676036</v>
      </c>
      <c r="BH64" s="128">
        <f>(((AA64-$AN64)/($AM64-$AN64))*100)</f>
        <v>50.775416427340602</v>
      </c>
      <c r="BI64" s="128">
        <f>(((AB64-$AN64)/($AM64-$AN64))*100)</f>
        <v>43.99770246984496</v>
      </c>
      <c r="BJ64" s="128">
        <f>(((AC64-$AN64)/($AM64-$AN64))*100)</f>
        <v>79.551981619758777</v>
      </c>
      <c r="BK64" s="128">
        <f>(((AD64-$AN64)/($AM64-$AN64))*100)</f>
        <v>45.778288340034493</v>
      </c>
      <c r="BL64" s="128">
        <f>(((AE64-$AN64)/($AM64-$AN64))*100)</f>
        <v>79.035037334865038</v>
      </c>
      <c r="BM64" s="128">
        <f>(((AF64-$AN64)/($AM64-$AN64))*100)</f>
        <v>39.977024698449206</v>
      </c>
      <c r="BN64" s="128">
        <f>(((AG64-$AN64)/($AM64-$AN64))*100)</f>
        <v>0</v>
      </c>
      <c r="BO64" s="128">
        <f>(((AH64-$AN64)/($AM64-$AN64))*100)</f>
        <v>39.172889144170014</v>
      </c>
      <c r="BP64" s="129">
        <f t="shared" si="6"/>
        <v>100</v>
      </c>
      <c r="BQ64" s="129">
        <f t="shared" si="7"/>
        <v>0</v>
      </c>
      <c r="BR64" s="129">
        <f t="shared" si="8"/>
        <v>41.003733486502021</v>
      </c>
      <c r="BS64" s="129">
        <f t="shared" si="9"/>
        <v>23.534612003385739</v>
      </c>
      <c r="BT64" s="130">
        <f t="shared" si="10"/>
        <v>0.57396266150088682</v>
      </c>
      <c r="BU64" s="131">
        <f t="shared" si="63"/>
        <v>0.91805475780202994</v>
      </c>
      <c r="BV64" s="131">
        <f t="shared" si="63"/>
        <v>0.42025655753398433</v>
      </c>
      <c r="BW64" s="131">
        <f t="shared" si="63"/>
        <v>0.34558682749377773</v>
      </c>
      <c r="BX64" s="131">
        <f t="shared" si="63"/>
        <v>0.57055332184568297</v>
      </c>
      <c r="BY64" s="131">
        <f t="shared" si="63"/>
        <v>0.87018954623779499</v>
      </c>
      <c r="BZ64" s="131">
        <f t="shared" si="63"/>
        <v>0.8012636415852965</v>
      </c>
      <c r="CA64" s="131">
        <f t="shared" si="63"/>
        <v>0.65479609419873608</v>
      </c>
      <c r="CB64" s="131">
        <f t="shared" si="63"/>
        <v>0.34080030633735425</v>
      </c>
      <c r="CC64" s="131">
        <f t="shared" si="63"/>
        <v>1.6666666666666665</v>
      </c>
      <c r="CD64" s="131">
        <f t="shared" si="63"/>
        <v>0.55906567107026683</v>
      </c>
      <c r="CE64" s="131">
        <f t="shared" si="63"/>
        <v>0.73042312847022761</v>
      </c>
      <c r="CF64" s="131">
        <f t="shared" si="63"/>
        <v>0.34367221903120804</v>
      </c>
      <c r="CG64" s="131">
        <f t="shared" si="63"/>
        <v>0.21539345203905824</v>
      </c>
      <c r="CH64" s="131">
        <f t="shared" si="62"/>
        <v>1.6274171931840276E-2</v>
      </c>
      <c r="CI64" s="131">
        <f t="shared" si="62"/>
        <v>0.81562320505456642</v>
      </c>
      <c r="CJ64" s="131">
        <f t="shared" si="62"/>
        <v>0.82806816006126738</v>
      </c>
      <c r="CK64" s="131">
        <f t="shared" si="60"/>
        <v>0.84625694045567679</v>
      </c>
      <c r="CL64" s="131">
        <f t="shared" si="60"/>
        <v>0.73329504116408262</v>
      </c>
      <c r="CM64" s="131">
        <f t="shared" si="60"/>
        <v>1.325866360329313</v>
      </c>
      <c r="CN64" s="131">
        <f t="shared" si="60"/>
        <v>0.76297147233390827</v>
      </c>
      <c r="CO64" s="131">
        <f t="shared" si="60"/>
        <v>1.3172506222477507</v>
      </c>
      <c r="CP64" s="131">
        <f t="shared" si="60"/>
        <v>0.66628374497415344</v>
      </c>
      <c r="CQ64" s="131">
        <f t="shared" si="60"/>
        <v>0</v>
      </c>
      <c r="CR64" s="131">
        <f t="shared" si="60"/>
        <v>0.65288148573616689</v>
      </c>
      <c r="CS64" s="131">
        <f t="shared" si="60"/>
        <v>1.6666666666666665</v>
      </c>
      <c r="CT64" s="132">
        <f t="shared" si="61"/>
        <v>9.180547578020299</v>
      </c>
      <c r="CU64" s="132">
        <f t="shared" si="61"/>
        <v>4.2025655753398432</v>
      </c>
      <c r="CV64" s="132">
        <f t="shared" si="61"/>
        <v>3.4558682749377772</v>
      </c>
      <c r="CW64" s="132">
        <f t="shared" si="61"/>
        <v>5.7055332184568295</v>
      </c>
      <c r="CX64" s="132">
        <f t="shared" si="61"/>
        <v>8.7018954623779479</v>
      </c>
      <c r="CY64" s="132">
        <f t="shared" si="61"/>
        <v>8.0126364158529633</v>
      </c>
      <c r="CZ64" s="132">
        <f t="shared" si="61"/>
        <v>6.5479609419873608</v>
      </c>
      <c r="DA64" s="132">
        <f t="shared" si="61"/>
        <v>3.4080030633735423</v>
      </c>
      <c r="DB64" s="132">
        <f t="shared" si="61"/>
        <v>16.666666666666664</v>
      </c>
      <c r="DC64" s="132">
        <f t="shared" si="59"/>
        <v>5.5906567107026683</v>
      </c>
      <c r="DD64" s="132">
        <f t="shared" si="59"/>
        <v>7.3042312847022766</v>
      </c>
      <c r="DE64" s="132">
        <f t="shared" si="59"/>
        <v>3.4367221903120804</v>
      </c>
      <c r="DF64" s="132">
        <f t="shared" si="59"/>
        <v>2.1539345203905822</v>
      </c>
      <c r="DG64" s="132">
        <f t="shared" si="59"/>
        <v>0.16274171931840273</v>
      </c>
      <c r="DH64" s="132">
        <f t="shared" si="59"/>
        <v>8.1562320505456647</v>
      </c>
      <c r="DI64" s="132">
        <f t="shared" si="59"/>
        <v>8.280681600612672</v>
      </c>
      <c r="DJ64" s="132">
        <f t="shared" si="57"/>
        <v>8.462569404556767</v>
      </c>
      <c r="DK64" s="132">
        <f t="shared" si="57"/>
        <v>7.3329504116408266</v>
      </c>
      <c r="DL64" s="132">
        <f t="shared" si="57"/>
        <v>13.25866360329313</v>
      </c>
      <c r="DM64" s="132">
        <f t="shared" si="57"/>
        <v>7.6297147233390818</v>
      </c>
      <c r="DN64" s="132">
        <f t="shared" si="57"/>
        <v>13.172506222477505</v>
      </c>
      <c r="DO64" s="132">
        <f t="shared" si="57"/>
        <v>6.6628374497415344</v>
      </c>
      <c r="DP64" s="132">
        <f t="shared" si="57"/>
        <v>0</v>
      </c>
      <c r="DQ64" s="132">
        <f t="shared" si="57"/>
        <v>6.5288148573616684</v>
      </c>
      <c r="DR64" s="58"/>
    </row>
    <row r="65" spans="1:122" ht="28">
      <c r="A65" s="50">
        <v>2017</v>
      </c>
      <c r="B65" s="51" t="s">
        <v>269</v>
      </c>
      <c r="C65" s="52">
        <f>+VLOOKUP(B65,'Indice por pilar'!$B$9:$C$20,2,FALSE)</f>
        <v>0.1</v>
      </c>
      <c r="D65" s="52">
        <f>+VLOOKUP(B65,[1]PONDERACIÓN!$B$22:$E$33,4,FALSE)</f>
        <v>0.16666666666666666</v>
      </c>
      <c r="E65" s="67" t="s">
        <v>124</v>
      </c>
      <c r="F65" s="59" t="s">
        <v>276</v>
      </c>
      <c r="G65" s="60" t="s">
        <v>277</v>
      </c>
      <c r="H65" s="60"/>
      <c r="I65" s="60">
        <v>2014</v>
      </c>
      <c r="J65" s="60" t="s">
        <v>131</v>
      </c>
      <c r="K65" s="64">
        <v>0.73299999999999998</v>
      </c>
      <c r="L65" s="64">
        <v>0.39300000000000002</v>
      </c>
      <c r="M65" s="64">
        <v>0.60499999999999998</v>
      </c>
      <c r="N65" s="64">
        <v>0.622</v>
      </c>
      <c r="O65" s="64">
        <v>0.34100000000000003</v>
      </c>
      <c r="P65" s="64">
        <v>0.438</v>
      </c>
      <c r="Q65" s="64">
        <v>0.66500000000000004</v>
      </c>
      <c r="R65" s="64">
        <v>0.40200000000000002</v>
      </c>
      <c r="S65" s="64">
        <v>0.81799999999999995</v>
      </c>
      <c r="T65" s="64">
        <v>0.70599999999999996</v>
      </c>
      <c r="U65" s="64">
        <v>0.66500000000000004</v>
      </c>
      <c r="V65" s="64">
        <v>0.57199999999999995</v>
      </c>
      <c r="W65" s="64">
        <v>0.41299999999999998</v>
      </c>
      <c r="X65" s="64">
        <v>0.41699999999999998</v>
      </c>
      <c r="Y65" s="64">
        <v>0.39300000000000002</v>
      </c>
      <c r="Z65" s="64">
        <v>0.41499999999999998</v>
      </c>
      <c r="AA65" s="64">
        <v>0.33700000000000002</v>
      </c>
      <c r="AB65" s="64">
        <v>0.48199999999999998</v>
      </c>
      <c r="AC65" s="64">
        <v>0.878</v>
      </c>
      <c r="AD65" s="64">
        <v>0.29599999999999999</v>
      </c>
      <c r="AE65" s="64">
        <v>0.629</v>
      </c>
      <c r="AF65" s="64">
        <v>0.46200000000000002</v>
      </c>
      <c r="AG65" s="64">
        <v>0.66500000000000004</v>
      </c>
      <c r="AH65" s="65">
        <v>0.42499999999999999</v>
      </c>
      <c r="AI65" s="124">
        <f>+AVERAGE(K65:AH65)</f>
        <v>0.53216666666666657</v>
      </c>
      <c r="AJ65" s="124">
        <f t="shared" si="54"/>
        <v>0.16207852811326479</v>
      </c>
      <c r="AK65" s="125">
        <f t="shared" si="2"/>
        <v>0.30456347280914153</v>
      </c>
      <c r="AL65" s="125" t="str">
        <f>+HLOOKUP(AN65,$K65:$AH$68,4,FALSE)</f>
        <v>Sucumbíos</v>
      </c>
      <c r="AM65" s="135">
        <f t="shared" si="55"/>
        <v>0.878</v>
      </c>
      <c r="AN65" s="135">
        <f t="shared" si="56"/>
        <v>0.29599999999999999</v>
      </c>
      <c r="AO65" s="124">
        <f t="shared" si="5"/>
        <v>2.9662162162162162</v>
      </c>
      <c r="AP65" s="135">
        <f t="shared" si="64"/>
        <v>0.878</v>
      </c>
      <c r="AQ65" s="139">
        <f>+HLOOKUP($AQ$3,$K$3:$AH$67,63,FALSE)</f>
        <v>0.70599999999999996</v>
      </c>
      <c r="AR65" s="134">
        <f>(((K65-$AN65)/($AM65-$AN65))*100)</f>
        <v>75.085910652920944</v>
      </c>
      <c r="AS65" s="134">
        <f>(((L65-$AN65)/($AM65-$AN65))*100)</f>
        <v>16.666666666666668</v>
      </c>
      <c r="AT65" s="134">
        <f>(((M65-$AN65)/($AM65-$AN65))*100)</f>
        <v>53.092783505154628</v>
      </c>
      <c r="AU65" s="134">
        <f>(((N65-$AN65)/($AM65-$AN65))*100)</f>
        <v>56.013745704467347</v>
      </c>
      <c r="AV65" s="134">
        <f>(((O65-$AN65)/($AM65-$AN65))*100)</f>
        <v>7.7319587628866042</v>
      </c>
      <c r="AW65" s="134">
        <f>(((P65-$AN65)/($AM65-$AN65))*100)</f>
        <v>24.398625429553263</v>
      </c>
      <c r="AX65" s="134">
        <f>(((Q65-$AN65)/($AM65-$AN65))*100)</f>
        <v>63.402061855670098</v>
      </c>
      <c r="AY65" s="134">
        <f>(((R65-$AN65)/($AM65-$AN65))*100)</f>
        <v>18.213058419243993</v>
      </c>
      <c r="AZ65" s="134">
        <f>(((S65-$AN65)/($AM65-$AN65))*100)</f>
        <v>89.69072164948453</v>
      </c>
      <c r="BA65" s="134">
        <f>(((T65-$AN65)/($AM65-$AN65))*100)</f>
        <v>70.446735395188981</v>
      </c>
      <c r="BB65" s="134">
        <f>(((U65-$AN65)/($AM65-$AN65))*100)</f>
        <v>63.402061855670098</v>
      </c>
      <c r="BC65" s="134">
        <f>(((V65-$AN65)/($AM65-$AN65))*100)</f>
        <v>47.422680412371122</v>
      </c>
      <c r="BD65" s="134">
        <f>(((W65-$AN65)/($AM65-$AN65))*100)</f>
        <v>20.103092783505151</v>
      </c>
      <c r="BE65" s="134">
        <f>(((X65-$AN65)/($AM65-$AN65))*100)</f>
        <v>20.790378006872849</v>
      </c>
      <c r="BF65" s="134">
        <f>(((Y65-$AN65)/($AM65-$AN65))*100)</f>
        <v>16.666666666666668</v>
      </c>
      <c r="BG65" s="134">
        <f>(((Z65-$AN65)/($AM65-$AN65))*100)</f>
        <v>20.446735395189002</v>
      </c>
      <c r="BH65" s="134">
        <f>(((AA65-$AN65)/($AM65-$AN65))*100)</f>
        <v>7.0446735395189055</v>
      </c>
      <c r="BI65" s="134">
        <f>(((AB65-$AN65)/($AM65-$AN65))*100)</f>
        <v>31.958762886597935</v>
      </c>
      <c r="BJ65" s="134">
        <f>(((AC65-$AN65)/($AM65-$AN65))*100)</f>
        <v>100</v>
      </c>
      <c r="BK65" s="134">
        <f>(((AD65-$AN65)/($AM65-$AN65))*100)</f>
        <v>0</v>
      </c>
      <c r="BL65" s="134">
        <f>(((AE65-$AN65)/($AM65-$AN65))*100)</f>
        <v>57.21649484536082</v>
      </c>
      <c r="BM65" s="134">
        <f>(((AF65-$AN65)/($AM65-$AN65))*100)</f>
        <v>28.522336769759455</v>
      </c>
      <c r="BN65" s="134">
        <f>(((AG65-$AN65)/($AM65-$AN65))*100)</f>
        <v>63.402061855670098</v>
      </c>
      <c r="BO65" s="134">
        <f>(((AH65-$AN65)/($AM65-$AN65))*100)</f>
        <v>22.164948453608247</v>
      </c>
      <c r="BP65" s="129">
        <f t="shared" si="6"/>
        <v>100</v>
      </c>
      <c r="BQ65" s="129">
        <f t="shared" si="7"/>
        <v>0</v>
      </c>
      <c r="BR65" s="129">
        <f t="shared" si="8"/>
        <v>40.578465063001147</v>
      </c>
      <c r="BS65" s="129">
        <f t="shared" si="9"/>
        <v>27.848544349358175</v>
      </c>
      <c r="BT65" s="130">
        <f t="shared" si="10"/>
        <v>0.68628875700747172</v>
      </c>
      <c r="BU65" s="131">
        <f t="shared" si="63"/>
        <v>1.2514318442153489</v>
      </c>
      <c r="BV65" s="131">
        <f t="shared" si="63"/>
        <v>0.27777777777777779</v>
      </c>
      <c r="BW65" s="131">
        <f t="shared" si="63"/>
        <v>0.8848797250859104</v>
      </c>
      <c r="BX65" s="131">
        <f t="shared" si="63"/>
        <v>0.93356242840778914</v>
      </c>
      <c r="BY65" s="131">
        <f t="shared" si="63"/>
        <v>0.1288659793814434</v>
      </c>
      <c r="BZ65" s="131">
        <f t="shared" si="63"/>
        <v>0.40664375715922108</v>
      </c>
      <c r="CA65" s="131">
        <f t="shared" si="63"/>
        <v>1.0567010309278349</v>
      </c>
      <c r="CB65" s="131">
        <f t="shared" si="63"/>
        <v>0.30355097365406652</v>
      </c>
      <c r="CC65" s="131">
        <f t="shared" si="63"/>
        <v>1.4948453608247423</v>
      </c>
      <c r="CD65" s="131">
        <f t="shared" si="63"/>
        <v>1.174112256586483</v>
      </c>
      <c r="CE65" s="131">
        <f t="shared" si="63"/>
        <v>1.0567010309278349</v>
      </c>
      <c r="CF65" s="131">
        <f t="shared" si="63"/>
        <v>0.79037800687285209</v>
      </c>
      <c r="CG65" s="131">
        <f t="shared" si="63"/>
        <v>0.3350515463917525</v>
      </c>
      <c r="CH65" s="131">
        <f t="shared" si="62"/>
        <v>0.34650630011454747</v>
      </c>
      <c r="CI65" s="131">
        <f t="shared" si="62"/>
        <v>0.27777777777777779</v>
      </c>
      <c r="CJ65" s="131">
        <f t="shared" si="62"/>
        <v>0.34077892325315001</v>
      </c>
      <c r="CK65" s="131">
        <f t="shared" si="60"/>
        <v>0.11741122565864844</v>
      </c>
      <c r="CL65" s="131">
        <f t="shared" si="60"/>
        <v>0.53264604810996552</v>
      </c>
      <c r="CM65" s="131">
        <f t="shared" si="60"/>
        <v>1.6666666666666665</v>
      </c>
      <c r="CN65" s="131">
        <f t="shared" si="60"/>
        <v>0</v>
      </c>
      <c r="CO65" s="131">
        <f t="shared" si="60"/>
        <v>0.95360824742268036</v>
      </c>
      <c r="CP65" s="131">
        <f t="shared" si="60"/>
        <v>0.47537227949599092</v>
      </c>
      <c r="CQ65" s="131">
        <f t="shared" si="60"/>
        <v>1.0567010309278349</v>
      </c>
      <c r="CR65" s="131">
        <f t="shared" si="60"/>
        <v>0.36941580756013748</v>
      </c>
      <c r="CS65" s="131">
        <f t="shared" si="60"/>
        <v>1.6666666666666665</v>
      </c>
      <c r="CT65" s="132">
        <f t="shared" si="61"/>
        <v>12.51431844215349</v>
      </c>
      <c r="CU65" s="132">
        <f t="shared" si="61"/>
        <v>2.7777777777777777</v>
      </c>
      <c r="CV65" s="132">
        <f t="shared" si="61"/>
        <v>8.8487972508591035</v>
      </c>
      <c r="CW65" s="132">
        <f t="shared" si="61"/>
        <v>9.3356242840778911</v>
      </c>
      <c r="CX65" s="132">
        <f t="shared" si="61"/>
        <v>1.288659793814434</v>
      </c>
      <c r="CY65" s="132">
        <f t="shared" si="61"/>
        <v>4.0664375715922105</v>
      </c>
      <c r="CZ65" s="132">
        <f t="shared" si="61"/>
        <v>10.567010309278349</v>
      </c>
      <c r="DA65" s="132">
        <f t="shared" si="61"/>
        <v>3.0355097365406651</v>
      </c>
      <c r="DB65" s="132">
        <f t="shared" si="61"/>
        <v>14.948453608247421</v>
      </c>
      <c r="DC65" s="132">
        <f t="shared" si="59"/>
        <v>11.741122565864829</v>
      </c>
      <c r="DD65" s="132">
        <f t="shared" si="59"/>
        <v>10.567010309278349</v>
      </c>
      <c r="DE65" s="132">
        <f t="shared" si="59"/>
        <v>7.90378006872852</v>
      </c>
      <c r="DF65" s="132">
        <f t="shared" si="59"/>
        <v>3.350515463917525</v>
      </c>
      <c r="DG65" s="132">
        <f t="shared" si="59"/>
        <v>3.4650630011454746</v>
      </c>
      <c r="DH65" s="132">
        <f t="shared" si="59"/>
        <v>2.7777777777777777</v>
      </c>
      <c r="DI65" s="132">
        <f t="shared" si="59"/>
        <v>3.4077892325315</v>
      </c>
      <c r="DJ65" s="132">
        <f t="shared" si="57"/>
        <v>1.1741122565864841</v>
      </c>
      <c r="DK65" s="132">
        <f t="shared" si="57"/>
        <v>5.3264604810996552</v>
      </c>
      <c r="DL65" s="132">
        <f t="shared" si="57"/>
        <v>16.666666666666664</v>
      </c>
      <c r="DM65" s="132">
        <f t="shared" si="57"/>
        <v>0</v>
      </c>
      <c r="DN65" s="132">
        <f t="shared" si="57"/>
        <v>9.5360824742268022</v>
      </c>
      <c r="DO65" s="132">
        <f t="shared" si="57"/>
        <v>4.7537227949599092</v>
      </c>
      <c r="DP65" s="132">
        <f t="shared" si="57"/>
        <v>10.567010309278349</v>
      </c>
      <c r="DQ65" s="132">
        <f t="shared" si="57"/>
        <v>3.6941580756013743</v>
      </c>
      <c r="DR65" s="58"/>
    </row>
    <row r="66" spans="1:122" ht="84">
      <c r="A66" s="50">
        <v>2017</v>
      </c>
      <c r="B66" s="51" t="s">
        <v>269</v>
      </c>
      <c r="C66" s="52">
        <f>+VLOOKUP(B66,'Indice por pilar'!$B$9:$C$20,2,FALSE)</f>
        <v>0.1</v>
      </c>
      <c r="D66" s="52">
        <f>+VLOOKUP(B66,[1]PONDERACIÓN!$B$22:$E$33,4,FALSE)</f>
        <v>0.16666666666666666</v>
      </c>
      <c r="E66" s="67" t="s">
        <v>124</v>
      </c>
      <c r="F66" s="59" t="s">
        <v>278</v>
      </c>
      <c r="G66" s="60" t="s">
        <v>279</v>
      </c>
      <c r="H66" s="60" t="s">
        <v>360</v>
      </c>
      <c r="I66" s="60">
        <v>2014</v>
      </c>
      <c r="J66" s="60" t="s">
        <v>131</v>
      </c>
      <c r="K66" s="64">
        <v>0.99399999999999999</v>
      </c>
      <c r="L66" s="64">
        <v>0.96299999999999997</v>
      </c>
      <c r="M66" s="64">
        <v>0.98899999999999999</v>
      </c>
      <c r="N66" s="64">
        <v>0.996</v>
      </c>
      <c r="O66" s="64">
        <v>0.97299999999999998</v>
      </c>
      <c r="P66" s="64">
        <v>0.98099999999999998</v>
      </c>
      <c r="Q66" s="64">
        <v>0.99099999999999999</v>
      </c>
      <c r="R66" s="64">
        <v>0.95799999999999996</v>
      </c>
      <c r="S66" s="64">
        <v>0.997</v>
      </c>
      <c r="T66" s="64">
        <v>0.99099999999999999</v>
      </c>
      <c r="U66" s="64">
        <v>0.98799999999999999</v>
      </c>
      <c r="V66" s="64">
        <v>0.98399999999999999</v>
      </c>
      <c r="W66" s="64">
        <v>0.97699999999999998</v>
      </c>
      <c r="X66" s="64">
        <v>0.97299999999999998</v>
      </c>
      <c r="Y66" s="64">
        <v>0.83</v>
      </c>
      <c r="Z66" s="64">
        <v>0.93500000000000005</v>
      </c>
      <c r="AA66" s="64">
        <v>0.89200000000000002</v>
      </c>
      <c r="AB66" s="64">
        <v>0.86299999999999999</v>
      </c>
      <c r="AC66" s="64">
        <v>0.998</v>
      </c>
      <c r="AD66" s="64">
        <v>0.92800000000000005</v>
      </c>
      <c r="AE66" s="64">
        <v>0.997</v>
      </c>
      <c r="AF66" s="64">
        <v>0.96099999999999997</v>
      </c>
      <c r="AG66" s="64">
        <v>0.98899999999999999</v>
      </c>
      <c r="AH66" s="65">
        <v>0.98799999999999999</v>
      </c>
      <c r="AI66" s="124">
        <f>+AVERAGE(K66:AH66)</f>
        <v>0.96400000000000008</v>
      </c>
      <c r="AJ66" s="124">
        <f t="shared" si="54"/>
        <v>4.4556754233517577E-2</v>
      </c>
      <c r="AK66" s="125">
        <f t="shared" si="2"/>
        <v>4.6220699412362627E-2</v>
      </c>
      <c r="AL66" s="125" t="str">
        <f>+HLOOKUP(AN66,$K66:$AH$68,3,FALSE)</f>
        <v>Morona Santiago</v>
      </c>
      <c r="AM66" s="135">
        <f t="shared" si="55"/>
        <v>0.998</v>
      </c>
      <c r="AN66" s="135">
        <f t="shared" si="56"/>
        <v>0.83</v>
      </c>
      <c r="AO66" s="124">
        <f t="shared" si="5"/>
        <v>1.2024096385542169</v>
      </c>
      <c r="AP66" s="135">
        <f t="shared" si="64"/>
        <v>0.998</v>
      </c>
      <c r="AQ66" s="139">
        <f>+HLOOKUP($AQ$3,$K$3:$AH$67,64,FALSE)</f>
        <v>0.99099999999999999</v>
      </c>
      <c r="AR66" s="134">
        <f>(((K66-$AN66)/($AM66-$AN66))*100)</f>
        <v>97.61904761904762</v>
      </c>
      <c r="AS66" s="134">
        <f>(((L66-$AN66)/($AM66-$AN66))*100)</f>
        <v>79.166666666666657</v>
      </c>
      <c r="AT66" s="134">
        <f>(((M66-$AN66)/($AM66-$AN66))*100)</f>
        <v>94.642857142857139</v>
      </c>
      <c r="AU66" s="134">
        <f>(((N66-$AN66)/($AM66-$AN66))*100)</f>
        <v>98.80952380952381</v>
      </c>
      <c r="AV66" s="134">
        <f>(((O66-$AN66)/($AM66-$AN66))*100)</f>
        <v>85.119047619047606</v>
      </c>
      <c r="AW66" s="134">
        <f>(((P66-$AN66)/($AM66-$AN66))*100)</f>
        <v>89.88095238095238</v>
      </c>
      <c r="AX66" s="134">
        <f>(((Q66-$AN66)/($AM66-$AN66))*100)</f>
        <v>95.833333333333329</v>
      </c>
      <c r="AY66" s="134">
        <f>(((R66-$AN66)/($AM66-$AN66))*100)</f>
        <v>76.190476190476176</v>
      </c>
      <c r="AZ66" s="134">
        <f>(((S66-$AN66)/($AM66-$AN66))*100)</f>
        <v>99.404761904761912</v>
      </c>
      <c r="BA66" s="134">
        <f>(((T66-$AN66)/($AM66-$AN66))*100)</f>
        <v>95.833333333333329</v>
      </c>
      <c r="BB66" s="134">
        <f>(((U66-$AN66)/($AM66-$AN66))*100)</f>
        <v>94.047619047619051</v>
      </c>
      <c r="BC66" s="134">
        <f>(((V66-$AN66)/($AM66-$AN66))*100)</f>
        <v>91.666666666666657</v>
      </c>
      <c r="BD66" s="134">
        <f>(((W66-$AN66)/($AM66-$AN66))*100)</f>
        <v>87.499999999999986</v>
      </c>
      <c r="BE66" s="134">
        <f>(((X66-$AN66)/($AM66-$AN66))*100)</f>
        <v>85.119047619047606</v>
      </c>
      <c r="BF66" s="134">
        <f>(((Y66-$AN66)/($AM66-$AN66))*100)</f>
        <v>0</v>
      </c>
      <c r="BG66" s="134">
        <f>(((Z66-$AN66)/($AM66-$AN66))*100)</f>
        <v>62.500000000000043</v>
      </c>
      <c r="BH66" s="134">
        <f>(((AA66-$AN66)/($AM66-$AN66))*100)</f>
        <v>36.904761904761926</v>
      </c>
      <c r="BI66" s="134">
        <f>(((AB66-$AN66)/($AM66-$AN66))*100)</f>
        <v>19.642857142857157</v>
      </c>
      <c r="BJ66" s="134">
        <f>(((AC66-$AN66)/($AM66-$AN66))*100)</f>
        <v>100</v>
      </c>
      <c r="BK66" s="134">
        <f>(((AD66-$AN66)/($AM66-$AN66))*100)</f>
        <v>58.333333333333371</v>
      </c>
      <c r="BL66" s="134">
        <f>(((AE66-$AN66)/($AM66-$AN66))*100)</f>
        <v>99.404761904761912</v>
      </c>
      <c r="BM66" s="134">
        <f>(((AF66-$AN66)/($AM66-$AN66))*100)</f>
        <v>77.976190476190467</v>
      </c>
      <c r="BN66" s="134">
        <f>(((AG66-$AN66)/($AM66-$AN66))*100)</f>
        <v>94.642857142857139</v>
      </c>
      <c r="BO66" s="134">
        <f>(((AH66-$AN66)/($AM66-$AN66))*100)</f>
        <v>94.047619047619051</v>
      </c>
      <c r="BP66" s="129">
        <f t="shared" si="6"/>
        <v>100</v>
      </c>
      <c r="BQ66" s="129">
        <f t="shared" si="7"/>
        <v>0</v>
      </c>
      <c r="BR66" s="129">
        <f t="shared" si="8"/>
        <v>79.761904761904759</v>
      </c>
      <c r="BS66" s="129">
        <f t="shared" si="9"/>
        <v>26.521877519950912</v>
      </c>
      <c r="BT66" s="130">
        <f t="shared" si="10"/>
        <v>0.33251309129490697</v>
      </c>
      <c r="BU66" s="131">
        <f t="shared" si="63"/>
        <v>1.626984126984127</v>
      </c>
      <c r="BV66" s="131">
        <f t="shared" si="63"/>
        <v>1.3194444444444442</v>
      </c>
      <c r="BW66" s="131">
        <f t="shared" si="63"/>
        <v>1.5773809523809521</v>
      </c>
      <c r="BX66" s="131">
        <f t="shared" si="63"/>
        <v>1.6468253968253967</v>
      </c>
      <c r="BY66" s="131">
        <f t="shared" si="63"/>
        <v>1.4186507936507935</v>
      </c>
      <c r="BZ66" s="131">
        <f t="shared" si="63"/>
        <v>1.498015873015873</v>
      </c>
      <c r="CA66" s="131">
        <f t="shared" si="63"/>
        <v>1.5972222222222223</v>
      </c>
      <c r="CB66" s="131">
        <f t="shared" si="63"/>
        <v>1.2698412698412695</v>
      </c>
      <c r="CC66" s="131">
        <f t="shared" si="63"/>
        <v>1.6567460317460319</v>
      </c>
      <c r="CD66" s="131">
        <f t="shared" si="63"/>
        <v>1.5972222222222223</v>
      </c>
      <c r="CE66" s="131">
        <f t="shared" si="63"/>
        <v>1.5674603174603174</v>
      </c>
      <c r="CF66" s="131">
        <f t="shared" si="63"/>
        <v>1.5277777777777777</v>
      </c>
      <c r="CG66" s="131">
        <f t="shared" si="63"/>
        <v>1.458333333333333</v>
      </c>
      <c r="CH66" s="131">
        <f t="shared" si="62"/>
        <v>1.4186507936507935</v>
      </c>
      <c r="CI66" s="131">
        <f t="shared" si="62"/>
        <v>0</v>
      </c>
      <c r="CJ66" s="131">
        <f t="shared" si="62"/>
        <v>1.0416666666666674</v>
      </c>
      <c r="CK66" s="131">
        <f t="shared" si="60"/>
        <v>0.61507936507936545</v>
      </c>
      <c r="CL66" s="131">
        <f t="shared" si="60"/>
        <v>0.32738095238095261</v>
      </c>
      <c r="CM66" s="131">
        <f t="shared" si="60"/>
        <v>1.6666666666666665</v>
      </c>
      <c r="CN66" s="131">
        <f t="shared" si="60"/>
        <v>0.97222222222222288</v>
      </c>
      <c r="CO66" s="131">
        <f t="shared" si="60"/>
        <v>1.6567460317460319</v>
      </c>
      <c r="CP66" s="131">
        <f t="shared" si="60"/>
        <v>1.2996031746031744</v>
      </c>
      <c r="CQ66" s="131">
        <f t="shared" si="60"/>
        <v>1.5773809523809521</v>
      </c>
      <c r="CR66" s="131">
        <f t="shared" si="60"/>
        <v>1.5674603174603174</v>
      </c>
      <c r="CS66" s="131">
        <f t="shared" si="60"/>
        <v>1.6666666666666665</v>
      </c>
      <c r="CT66" s="132">
        <f t="shared" si="61"/>
        <v>16.269841269841269</v>
      </c>
      <c r="CU66" s="132">
        <f t="shared" si="61"/>
        <v>13.194444444444443</v>
      </c>
      <c r="CV66" s="132">
        <f t="shared" si="61"/>
        <v>15.773809523809522</v>
      </c>
      <c r="CW66" s="132">
        <f t="shared" si="61"/>
        <v>16.468253968253968</v>
      </c>
      <c r="CX66" s="132">
        <f t="shared" si="61"/>
        <v>14.186507936507933</v>
      </c>
      <c r="CY66" s="132">
        <f t="shared" si="61"/>
        <v>14.980158730158729</v>
      </c>
      <c r="CZ66" s="132">
        <f t="shared" si="61"/>
        <v>15.972222222222221</v>
      </c>
      <c r="DA66" s="132">
        <f t="shared" si="61"/>
        <v>12.698412698412696</v>
      </c>
      <c r="DB66" s="132">
        <f t="shared" si="61"/>
        <v>16.567460317460316</v>
      </c>
      <c r="DC66" s="132">
        <f t="shared" si="59"/>
        <v>15.972222222222221</v>
      </c>
      <c r="DD66" s="132">
        <f t="shared" si="59"/>
        <v>15.674603174603174</v>
      </c>
      <c r="DE66" s="132">
        <f t="shared" si="59"/>
        <v>15.277777777777775</v>
      </c>
      <c r="DF66" s="132">
        <f t="shared" si="59"/>
        <v>14.58333333333333</v>
      </c>
      <c r="DG66" s="132">
        <f t="shared" si="59"/>
        <v>14.186507936507933</v>
      </c>
      <c r="DH66" s="132">
        <f t="shared" si="59"/>
        <v>0</v>
      </c>
      <c r="DI66" s="132">
        <f t="shared" si="59"/>
        <v>10.416666666666673</v>
      </c>
      <c r="DJ66" s="132">
        <f t="shared" si="57"/>
        <v>6.1507936507936538</v>
      </c>
      <c r="DK66" s="132">
        <f t="shared" si="57"/>
        <v>3.2738095238095259</v>
      </c>
      <c r="DL66" s="132">
        <f t="shared" si="57"/>
        <v>16.666666666666664</v>
      </c>
      <c r="DM66" s="132">
        <f t="shared" si="57"/>
        <v>9.7222222222222285</v>
      </c>
      <c r="DN66" s="132">
        <f t="shared" si="57"/>
        <v>16.567460317460316</v>
      </c>
      <c r="DO66" s="132">
        <f t="shared" si="57"/>
        <v>12.996031746031743</v>
      </c>
      <c r="DP66" s="132">
        <f t="shared" si="57"/>
        <v>15.773809523809522</v>
      </c>
      <c r="DQ66" s="132">
        <f t="shared" si="57"/>
        <v>15.674603174603174</v>
      </c>
      <c r="DR66" s="58"/>
    </row>
    <row r="67" spans="1:122" ht="56">
      <c r="A67" s="50">
        <v>2017</v>
      </c>
      <c r="B67" s="51" t="s">
        <v>269</v>
      </c>
      <c r="C67" s="52">
        <f>+VLOOKUP(B67,'Indice por pilar'!$B$9:$C$20,2,FALSE)</f>
        <v>0.1</v>
      </c>
      <c r="D67" s="52">
        <f>+VLOOKUP(B67,[1]PONDERACIÓN!$B$22:$E$33,4,FALSE)</f>
        <v>0.16666666666666666</v>
      </c>
      <c r="E67" s="67" t="s">
        <v>119</v>
      </c>
      <c r="F67" s="59" t="s">
        <v>280</v>
      </c>
      <c r="G67" s="60" t="s">
        <v>281</v>
      </c>
      <c r="H67" s="60" t="s">
        <v>282</v>
      </c>
      <c r="I67" s="60">
        <v>2017</v>
      </c>
      <c r="J67" s="60" t="s">
        <v>194</v>
      </c>
      <c r="K67" s="104">
        <v>9.9399999999999988E-2</v>
      </c>
      <c r="L67" s="104">
        <v>9.9700000000000011E-2</v>
      </c>
      <c r="M67" s="104">
        <v>0.10249999999999999</v>
      </c>
      <c r="N67" s="104">
        <v>0.10460000000000001</v>
      </c>
      <c r="O67" s="104">
        <v>0.10679999999999999</v>
      </c>
      <c r="P67" s="104">
        <v>0.1026</v>
      </c>
      <c r="Q67" s="104">
        <v>0.1017</v>
      </c>
      <c r="R67" s="104">
        <v>9.69E-2</v>
      </c>
      <c r="S67" s="104">
        <v>0.10970000000000001</v>
      </c>
      <c r="T67" s="104">
        <v>0.10310000000000001</v>
      </c>
      <c r="U67" s="104">
        <v>0.10460000000000001</v>
      </c>
      <c r="V67" s="104">
        <v>0.10890000000000001</v>
      </c>
      <c r="W67" s="104">
        <v>9.4E-2</v>
      </c>
      <c r="X67" s="104">
        <v>9.3000000000000013E-2</v>
      </c>
      <c r="Y67" s="104">
        <v>0.10390000000000001</v>
      </c>
      <c r="Z67" s="104">
        <v>9.5100000000000004E-2</v>
      </c>
      <c r="AA67" s="104">
        <v>0.1014</v>
      </c>
      <c r="AB67" s="104">
        <v>0.1014</v>
      </c>
      <c r="AC67" s="104">
        <v>9.5100000000000004E-2</v>
      </c>
      <c r="AD67" s="104">
        <v>0.10199999999999999</v>
      </c>
      <c r="AE67" s="104">
        <v>0.1026</v>
      </c>
      <c r="AF67" s="104">
        <v>0.10890000000000001</v>
      </c>
      <c r="AG67" s="104">
        <v>0.1061</v>
      </c>
      <c r="AH67" s="105">
        <v>0.1056</v>
      </c>
      <c r="AI67" s="124">
        <f>+AVERAGE(K67:AH67)</f>
        <v>0.10206666666666668</v>
      </c>
      <c r="AJ67" s="124">
        <f t="shared" si="54"/>
        <v>4.6886232953604959E-3</v>
      </c>
      <c r="AK67" s="125">
        <f t="shared" si="2"/>
        <v>4.59368709538912E-2</v>
      </c>
      <c r="AL67" s="125" t="str">
        <f>+HLOOKUP(AN67,$K67:$AH$68,2,FALSE)</f>
        <v>Manabí</v>
      </c>
      <c r="AM67" s="133">
        <f t="shared" si="55"/>
        <v>0.10970000000000001</v>
      </c>
      <c r="AN67" s="133">
        <f t="shared" si="56"/>
        <v>9.3000000000000013E-2</v>
      </c>
      <c r="AO67" s="124">
        <f t="shared" si="5"/>
        <v>1.1795698924731182</v>
      </c>
      <c r="AP67" s="133">
        <f>+AN67</f>
        <v>9.3000000000000013E-2</v>
      </c>
      <c r="AQ67" s="147">
        <f>+HLOOKUP($AQ$3,$K$3:$AH$67,65,FALSE)</f>
        <v>0.10310000000000001</v>
      </c>
      <c r="AR67" s="134">
        <f>100-(((K67-$AN67)/($AM67-$AN67))*100)</f>
        <v>61.676646706586958</v>
      </c>
      <c r="AS67" s="134">
        <f>100-(((L67-$AN67)/($AM67-$AN67))*100)</f>
        <v>59.880239520958078</v>
      </c>
      <c r="AT67" s="134">
        <f>100-(((M67-$AN67)/($AM67-$AN67))*100)</f>
        <v>43.113772455089915</v>
      </c>
      <c r="AU67" s="134">
        <f>100-(((N67-$AN67)/($AM67-$AN67))*100)</f>
        <v>30.538922155688596</v>
      </c>
      <c r="AV67" s="134">
        <f>100-(((O67-$AN67)/($AM67-$AN67))*100)</f>
        <v>17.365269461077943</v>
      </c>
      <c r="AW67" s="134">
        <f>100-(((P67-$AN67)/($AM67-$AN67))*100)</f>
        <v>42.514970059880305</v>
      </c>
      <c r="AX67" s="134">
        <f>100-(((Q67-$AN67)/($AM67-$AN67))*100)</f>
        <v>47.904191616766532</v>
      </c>
      <c r="AY67" s="134">
        <f>100-(((R67-$AN67)/($AM67-$AN67))*100)</f>
        <v>76.646706586826411</v>
      </c>
      <c r="AZ67" s="134">
        <f>100-(((S67-$AN67)/($AM67-$AN67))*100)</f>
        <v>0</v>
      </c>
      <c r="BA67" s="134">
        <f>100-(((T67-$AN67)/($AM67-$AN67))*100)</f>
        <v>39.520958083832326</v>
      </c>
      <c r="BB67" s="134">
        <f>100-(((U67-$AN67)/($AM67-$AN67))*100)</f>
        <v>30.538922155688596</v>
      </c>
      <c r="BC67" s="134">
        <f>100-(((V67-$AN67)/($AM67-$AN67))*100)</f>
        <v>4.7904191616766241</v>
      </c>
      <c r="BD67" s="134">
        <f>100-(((W67-$AN67)/($AM67-$AN67))*100)</f>
        <v>94.01197604790427</v>
      </c>
      <c r="BE67" s="134">
        <f>100-(((X67-$AN67)/($AM67-$AN67))*100)</f>
        <v>100</v>
      </c>
      <c r="BF67" s="134">
        <f>100-(((Y67-$AN67)/($AM67-$AN67))*100)</f>
        <v>34.730538922155702</v>
      </c>
      <c r="BG67" s="134">
        <f>100-(((Z67-$AN67)/($AM67-$AN67))*100)</f>
        <v>87.425149700598851</v>
      </c>
      <c r="BH67" s="134">
        <f>100-(((AA67-$AN67)/($AM67-$AN67))*100)</f>
        <v>49.700598802395248</v>
      </c>
      <c r="BI67" s="134">
        <f>100-(((AB67-$AN67)/($AM67-$AN67))*100)</f>
        <v>49.700598802395248</v>
      </c>
      <c r="BJ67" s="134">
        <f>100-(((AC67-$AN67)/($AM67-$AN67))*100)</f>
        <v>87.425149700598851</v>
      </c>
      <c r="BK67" s="134">
        <f>100-(((AD67-$AN67)/($AM67-$AN67))*100)</f>
        <v>46.107784431137823</v>
      </c>
      <c r="BL67" s="134">
        <f>100-(((AE67-$AN67)/($AM67-$AN67))*100)</f>
        <v>42.514970059880305</v>
      </c>
      <c r="BM67" s="134">
        <f>100-(((AF67-$AN67)/($AM67-$AN67))*100)</f>
        <v>4.7904191616766241</v>
      </c>
      <c r="BN67" s="134">
        <f>100-(((AG67-$AN67)/($AM67-$AN67))*100)</f>
        <v>21.556886227544965</v>
      </c>
      <c r="BO67" s="134">
        <f>100-(((AH67-$AN67)/($AM67-$AN67))*100)</f>
        <v>24.550898203592865</v>
      </c>
      <c r="BP67" s="129">
        <f t="shared" si="6"/>
        <v>100</v>
      </c>
      <c r="BQ67" s="129">
        <f t="shared" si="7"/>
        <v>0</v>
      </c>
      <c r="BR67" s="129">
        <f t="shared" si="8"/>
        <v>45.708582834331374</v>
      </c>
      <c r="BS67" s="129">
        <f t="shared" si="9"/>
        <v>28.075588594973031</v>
      </c>
      <c r="BT67" s="130">
        <f t="shared" si="10"/>
        <v>0.61423012602975879</v>
      </c>
      <c r="BU67" s="131">
        <f t="shared" si="63"/>
        <v>1.0279441117764492</v>
      </c>
      <c r="BV67" s="131">
        <f t="shared" si="63"/>
        <v>0.99800399201596801</v>
      </c>
      <c r="BW67" s="131">
        <f t="shared" si="63"/>
        <v>0.71856287425149867</v>
      </c>
      <c r="BX67" s="131">
        <f t="shared" si="63"/>
        <v>0.50898203592814328</v>
      </c>
      <c r="BY67" s="131">
        <f t="shared" si="63"/>
        <v>0.28942115768463239</v>
      </c>
      <c r="BZ67" s="131">
        <f t="shared" si="63"/>
        <v>0.70858283433133851</v>
      </c>
      <c r="CA67" s="131">
        <f t="shared" si="63"/>
        <v>0.79840319361277556</v>
      </c>
      <c r="CB67" s="131">
        <f t="shared" si="63"/>
        <v>1.2774451097804402</v>
      </c>
      <c r="CC67" s="131">
        <f t="shared" si="63"/>
        <v>0</v>
      </c>
      <c r="CD67" s="131">
        <f t="shared" si="63"/>
        <v>0.65868263473053879</v>
      </c>
      <c r="CE67" s="131">
        <f t="shared" si="63"/>
        <v>0.50898203592814328</v>
      </c>
      <c r="CF67" s="131">
        <f t="shared" si="63"/>
        <v>7.9840319361277071E-2</v>
      </c>
      <c r="CG67" s="131">
        <f t="shared" si="63"/>
        <v>1.5668662674650711</v>
      </c>
      <c r="CH67" s="131">
        <f t="shared" si="62"/>
        <v>1.6666666666666665</v>
      </c>
      <c r="CI67" s="131">
        <f t="shared" si="62"/>
        <v>0.57884231536926167</v>
      </c>
      <c r="CJ67" s="131">
        <f t="shared" si="62"/>
        <v>1.4570858283433141</v>
      </c>
      <c r="CK67" s="131">
        <f t="shared" si="60"/>
        <v>0.82834331337325406</v>
      </c>
      <c r="CL67" s="131">
        <f t="shared" si="60"/>
        <v>0.82834331337325406</v>
      </c>
      <c r="CM67" s="131">
        <f t="shared" si="60"/>
        <v>1.4570858283433141</v>
      </c>
      <c r="CN67" s="131">
        <f t="shared" si="60"/>
        <v>0.76846307385229706</v>
      </c>
      <c r="CO67" s="131">
        <f t="shared" si="60"/>
        <v>0.70858283433133851</v>
      </c>
      <c r="CP67" s="131">
        <f t="shared" si="60"/>
        <v>7.9840319361277071E-2</v>
      </c>
      <c r="CQ67" s="131">
        <f t="shared" si="60"/>
        <v>0.35928143712574939</v>
      </c>
      <c r="CR67" s="131">
        <f t="shared" si="60"/>
        <v>0.40918163672654778</v>
      </c>
      <c r="CS67" s="131">
        <f t="shared" si="60"/>
        <v>1.6666666666666665</v>
      </c>
      <c r="CT67" s="132">
        <f t="shared" si="61"/>
        <v>10.279441117764492</v>
      </c>
      <c r="CU67" s="132">
        <f t="shared" si="61"/>
        <v>9.9800399201596797</v>
      </c>
      <c r="CV67" s="132">
        <f t="shared" si="61"/>
        <v>7.1856287425149858</v>
      </c>
      <c r="CW67" s="132">
        <f t="shared" si="61"/>
        <v>5.0898203592814326</v>
      </c>
      <c r="CX67" s="132">
        <f t="shared" si="61"/>
        <v>2.8942115768463239</v>
      </c>
      <c r="CY67" s="132">
        <f t="shared" si="61"/>
        <v>7.0858283433133842</v>
      </c>
      <c r="CZ67" s="132">
        <f t="shared" si="61"/>
        <v>7.9840319361277547</v>
      </c>
      <c r="DA67" s="132">
        <f t="shared" si="61"/>
        <v>12.774451097804402</v>
      </c>
      <c r="DB67" s="132">
        <f t="shared" si="61"/>
        <v>0</v>
      </c>
      <c r="DC67" s="132">
        <f t="shared" si="59"/>
        <v>6.5868263473053874</v>
      </c>
      <c r="DD67" s="132">
        <f t="shared" si="59"/>
        <v>5.0898203592814326</v>
      </c>
      <c r="DE67" s="132">
        <f t="shared" si="59"/>
        <v>0.79840319361277068</v>
      </c>
      <c r="DF67" s="132">
        <f t="shared" si="59"/>
        <v>15.668662674650712</v>
      </c>
      <c r="DG67" s="132">
        <f t="shared" si="59"/>
        <v>16.666666666666664</v>
      </c>
      <c r="DH67" s="132">
        <f t="shared" si="59"/>
        <v>5.7884231536926167</v>
      </c>
      <c r="DI67" s="132">
        <f t="shared" si="59"/>
        <v>14.570858283433141</v>
      </c>
      <c r="DJ67" s="132">
        <f t="shared" si="57"/>
        <v>8.2834331337325402</v>
      </c>
      <c r="DK67" s="132">
        <f t="shared" si="57"/>
        <v>8.2834331337325402</v>
      </c>
      <c r="DL67" s="132">
        <f t="shared" si="57"/>
        <v>14.570858283433141</v>
      </c>
      <c r="DM67" s="132">
        <f t="shared" si="57"/>
        <v>7.6846307385229702</v>
      </c>
      <c r="DN67" s="132">
        <f t="shared" si="57"/>
        <v>7.0858283433133842</v>
      </c>
      <c r="DO67" s="132">
        <f t="shared" si="57"/>
        <v>0.79840319361277068</v>
      </c>
      <c r="DP67" s="132">
        <f t="shared" si="57"/>
        <v>3.5928143712574938</v>
      </c>
      <c r="DQ67" s="132">
        <f t="shared" ref="DQ67" si="65">+BO67*$D67</f>
        <v>4.0918163672654773</v>
      </c>
      <c r="DR67" s="58"/>
    </row>
    <row r="68" spans="1:122" ht="20">
      <c r="A68" s="50">
        <v>2017</v>
      </c>
      <c r="B68" s="106" t="s">
        <v>283</v>
      </c>
      <c r="C68" s="52"/>
      <c r="D68" s="107"/>
      <c r="E68" s="106"/>
      <c r="F68" s="108"/>
      <c r="G68" s="108"/>
      <c r="H68" s="108"/>
      <c r="I68" s="109"/>
      <c r="J68" s="108"/>
      <c r="K68" s="38" t="s">
        <v>10</v>
      </c>
      <c r="L68" s="38" t="s">
        <v>11</v>
      </c>
      <c r="M68" s="38" t="s">
        <v>12</v>
      </c>
      <c r="N68" s="38" t="s">
        <v>13</v>
      </c>
      <c r="O68" s="38" t="s">
        <v>14</v>
      </c>
      <c r="P68" s="38" t="s">
        <v>15</v>
      </c>
      <c r="Q68" s="38" t="s">
        <v>16</v>
      </c>
      <c r="R68" s="38" t="s">
        <v>17</v>
      </c>
      <c r="S68" s="38" t="s">
        <v>18</v>
      </c>
      <c r="T68" s="38" t="s">
        <v>19</v>
      </c>
      <c r="U68" s="38" t="s">
        <v>20</v>
      </c>
      <c r="V68" s="38" t="s">
        <v>21</v>
      </c>
      <c r="W68" s="38" t="s">
        <v>22</v>
      </c>
      <c r="X68" s="38" t="s">
        <v>23</v>
      </c>
      <c r="Y68" s="38" t="s">
        <v>24</v>
      </c>
      <c r="Z68" s="38" t="s">
        <v>25</v>
      </c>
      <c r="AA68" s="38" t="s">
        <v>26</v>
      </c>
      <c r="AB68" s="38" t="s">
        <v>27</v>
      </c>
      <c r="AC68" s="38" t="s">
        <v>28</v>
      </c>
      <c r="AD68" s="38" t="s">
        <v>29</v>
      </c>
      <c r="AE68" s="38" t="s">
        <v>30</v>
      </c>
      <c r="AF68" s="38" t="s">
        <v>31</v>
      </c>
      <c r="AG68" s="38" t="s">
        <v>32</v>
      </c>
      <c r="AH68" s="39" t="s">
        <v>33</v>
      </c>
      <c r="AI68" s="110"/>
      <c r="AJ68" s="110"/>
      <c r="AK68" s="110"/>
      <c r="AL68" s="110"/>
      <c r="AM68" s="38"/>
      <c r="AN68" s="38"/>
      <c r="AO68" s="111"/>
      <c r="AP68" s="111"/>
      <c r="AQ68" s="111"/>
      <c r="AR68" s="110"/>
      <c r="AS68" s="110"/>
      <c r="AT68" s="110"/>
      <c r="AU68" s="110"/>
      <c r="AV68" s="110"/>
      <c r="AW68" s="110"/>
      <c r="AX68" s="110"/>
      <c r="AY68" s="110"/>
      <c r="AZ68" s="110"/>
      <c r="BA68" s="110"/>
      <c r="BB68" s="110"/>
      <c r="BC68" s="110"/>
      <c r="BD68" s="110"/>
      <c r="BE68" s="110"/>
      <c r="BF68" s="110"/>
      <c r="BG68" s="110"/>
      <c r="BH68" s="110"/>
      <c r="BI68" s="110"/>
      <c r="BJ68" s="110"/>
      <c r="BK68" s="110"/>
      <c r="BL68" s="110"/>
      <c r="BM68" s="110"/>
      <c r="BN68" s="58"/>
      <c r="BO68" s="58"/>
      <c r="BP68" s="58"/>
      <c r="BQ68" s="58"/>
      <c r="BR68" s="58"/>
      <c r="BS68" s="58"/>
      <c r="BT68" s="112"/>
      <c r="BU68" s="113" t="e">
        <f>+SUM(BU4:BU67)</f>
        <v>#N/A</v>
      </c>
      <c r="BV68" s="113" t="e">
        <f t="shared" ref="BV68:CS68" si="66">+SUM(BV4:BV67)</f>
        <v>#N/A</v>
      </c>
      <c r="BW68" s="113" t="e">
        <f t="shared" si="66"/>
        <v>#N/A</v>
      </c>
      <c r="BX68" s="113" t="e">
        <f t="shared" si="66"/>
        <v>#N/A</v>
      </c>
      <c r="BY68" s="113" t="e">
        <f t="shared" si="66"/>
        <v>#N/A</v>
      </c>
      <c r="BZ68" s="113" t="e">
        <f t="shared" si="66"/>
        <v>#N/A</v>
      </c>
      <c r="CA68" s="113" t="e">
        <f t="shared" si="66"/>
        <v>#N/A</v>
      </c>
      <c r="CB68" s="113" t="e">
        <f t="shared" si="66"/>
        <v>#N/A</v>
      </c>
      <c r="CC68" s="113" t="e">
        <f t="shared" si="66"/>
        <v>#N/A</v>
      </c>
      <c r="CD68" s="113" t="e">
        <f t="shared" si="66"/>
        <v>#N/A</v>
      </c>
      <c r="CE68" s="113" t="e">
        <f t="shared" si="66"/>
        <v>#N/A</v>
      </c>
      <c r="CF68" s="113" t="e">
        <f t="shared" si="66"/>
        <v>#N/A</v>
      </c>
      <c r="CG68" s="113" t="e">
        <f t="shared" si="66"/>
        <v>#N/A</v>
      </c>
      <c r="CH68" s="113" t="e">
        <f t="shared" si="66"/>
        <v>#N/A</v>
      </c>
      <c r="CI68" s="113" t="e">
        <f t="shared" si="66"/>
        <v>#N/A</v>
      </c>
      <c r="CJ68" s="113" t="e">
        <f t="shared" si="66"/>
        <v>#N/A</v>
      </c>
      <c r="CK68" s="113" t="e">
        <f t="shared" si="66"/>
        <v>#N/A</v>
      </c>
      <c r="CL68" s="113" t="e">
        <f t="shared" si="66"/>
        <v>#N/A</v>
      </c>
      <c r="CM68" s="113" t="e">
        <f t="shared" si="66"/>
        <v>#N/A</v>
      </c>
      <c r="CN68" s="113" t="e">
        <f t="shared" si="66"/>
        <v>#N/A</v>
      </c>
      <c r="CO68" s="113" t="e">
        <f t="shared" si="66"/>
        <v>#N/A</v>
      </c>
      <c r="CP68" s="113" t="e">
        <f t="shared" si="66"/>
        <v>#N/A</v>
      </c>
      <c r="CQ68" s="113" t="e">
        <f t="shared" si="66"/>
        <v>#N/A</v>
      </c>
      <c r="CR68" s="113" t="e">
        <f t="shared" si="66"/>
        <v>#N/A</v>
      </c>
      <c r="CS68" s="113" t="e">
        <f t="shared" si="66"/>
        <v>#N/A</v>
      </c>
      <c r="CT68" s="58"/>
      <c r="CU68" s="58"/>
      <c r="CV68" s="58"/>
      <c r="CW68" s="58"/>
      <c r="CX68" s="58"/>
      <c r="CY68" s="58"/>
      <c r="CZ68" s="58"/>
      <c r="DA68" s="58"/>
      <c r="DB68" s="58"/>
      <c r="DC68" s="58"/>
      <c r="DD68" s="58"/>
      <c r="DE68" s="58"/>
      <c r="DF68" s="58"/>
      <c r="DG68" s="58"/>
      <c r="DH68" s="58"/>
      <c r="DI68" s="58"/>
      <c r="DJ68" s="58"/>
      <c r="DK68" s="58"/>
      <c r="DL68" s="58"/>
      <c r="DM68" s="58"/>
      <c r="DN68" s="58"/>
      <c r="DO68" s="58"/>
      <c r="DP68" s="58"/>
      <c r="DQ68" s="58"/>
      <c r="DR68" s="58"/>
    </row>
  </sheetData>
  <sheetProtection password="8DFC" sheet="1" objects="1" scenarios="1"/>
  <conditionalFormatting sqref="E3:E11 E45:E48 E31:E37 E13:E14 E16:E28 E50:E51 E54:E55 E58:E68 E40:E41">
    <cfRule type="cellIs" dxfId="15" priority="15" operator="equal">
      <formula>"destruye"</formula>
    </cfRule>
  </conditionalFormatting>
  <conditionalFormatting sqref="E42">
    <cfRule type="cellIs" dxfId="14" priority="14" operator="equal">
      <formula>"destruye"</formula>
    </cfRule>
  </conditionalFormatting>
  <conditionalFormatting sqref="E43">
    <cfRule type="cellIs" dxfId="13" priority="13" operator="equal">
      <formula>"destruye"</formula>
    </cfRule>
  </conditionalFormatting>
  <conditionalFormatting sqref="E29">
    <cfRule type="cellIs" dxfId="12" priority="12" operator="equal">
      <formula>"destruye"</formula>
    </cfRule>
  </conditionalFormatting>
  <conditionalFormatting sqref="E30">
    <cfRule type="cellIs" dxfId="11" priority="11" operator="equal">
      <formula>"destruye"</formula>
    </cfRule>
  </conditionalFormatting>
  <conditionalFormatting sqref="E38">
    <cfRule type="cellIs" dxfId="10" priority="10" operator="equal">
      <formula>"destruye"</formula>
    </cfRule>
  </conditionalFormatting>
  <conditionalFormatting sqref="E39">
    <cfRule type="cellIs" dxfId="9" priority="9" operator="equal">
      <formula>"destruye"</formula>
    </cfRule>
  </conditionalFormatting>
  <conditionalFormatting sqref="E12">
    <cfRule type="cellIs" dxfId="8" priority="8" operator="equal">
      <formula>"destruye"</formula>
    </cfRule>
  </conditionalFormatting>
  <conditionalFormatting sqref="E15">
    <cfRule type="cellIs" dxfId="7" priority="7" operator="equal">
      <formula>"destruye"</formula>
    </cfRule>
  </conditionalFormatting>
  <conditionalFormatting sqref="E49">
    <cfRule type="cellIs" dxfId="6" priority="6" operator="equal">
      <formula>"destruye"</formula>
    </cfRule>
  </conditionalFormatting>
  <conditionalFormatting sqref="E52">
    <cfRule type="cellIs" dxfId="5" priority="5" operator="equal">
      <formula>"destruye"</formula>
    </cfRule>
  </conditionalFormatting>
  <conditionalFormatting sqref="E53">
    <cfRule type="cellIs" dxfId="4" priority="4" operator="equal">
      <formula>"destruye"</formula>
    </cfRule>
  </conditionalFormatting>
  <conditionalFormatting sqref="E56">
    <cfRule type="cellIs" dxfId="3" priority="3" operator="equal">
      <formula>"destruye"</formula>
    </cfRule>
  </conditionalFormatting>
  <conditionalFormatting sqref="E57">
    <cfRule type="cellIs" dxfId="2" priority="2" operator="equal">
      <formula>"destruye"</formula>
    </cfRule>
  </conditionalFormatting>
  <conditionalFormatting sqref="E44">
    <cfRule type="cellIs" dxfId="1" priority="1" operator="equal">
      <formula>"destruye"</formula>
    </cfRule>
  </conditionalFormatting>
  <hyperlinks>
    <hyperlink ref="H49" r:id="rId1" location="_x000a__x000a_Volumen de crédito/ Base de datos- Volumen"/>
    <hyperlink ref="H48" r:id="rId2" location="_x000a__x000a_Volumen de crédito/ Base de datos- Volumen"/>
    <hyperlink ref="H50" r:id="rId3" location="_x000a__x000a_Volumen de crédito/ Base de datos- Volumen"/>
    <hyperlink ref="H51" r:id="rId4" location="_x000a__x000a_Volumen de crédito/ Base de datos- Volumen_x000a_Adicionalmente de utiliza la información de población por provincia"/>
    <hyperlink ref="H52" r:id="rId5" location="10_x000a__x000a__x000a_CAPCOL BANCOS AÑO 2017/ Colocaciones (Agosto 2017)/ Usar los datos de las 5 carteras para obtener la  morosidad total"/>
    <hyperlink ref="H53" r:id="rId6" location="_x000a__x000a_Volumen de crédito/ Base de datos- Volumen"/>
    <hyperlink ref="H54" r:id="rId7" location="_x000a__x000a_Volumen de crédito/ Base de datos- Volumen_x000a_Adicionalmente de utiliza la información de población por provincia"/>
    <hyperlink ref="H44" r:id="rId8"/>
    <hyperlink ref="H46" r:id="rId9"/>
    <hyperlink ref="H45" r:id="rId10"/>
    <hyperlink ref="H10" r:id="rId11"/>
    <hyperlink ref="H12" r:id="rId12"/>
    <hyperlink ref="H13" r:id="rId13"/>
    <hyperlink ref="H22" r:id="rId14"/>
    <hyperlink ref="H21" r:id="rId15"/>
    <hyperlink ref="H20" r:id="rId16"/>
    <hyperlink ref="H19" r:id="rId17"/>
    <hyperlink ref="H62" r:id="rId18"/>
    <hyperlink ref="H63" r:id="rId19"/>
    <hyperlink ref="H64" r:id="rId20"/>
  </hyperlinks>
  <pageMargins left="0.75" right="0.75" top="1" bottom="1" header="0.5" footer="0.5"/>
  <pageSetup paperSize="9" orientation="landscape" horizontalDpi="4294967292" verticalDpi="4294967292"/>
  <legacyDrawing r:id="rId2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9"/>
  <sheetViews>
    <sheetView workbookViewId="0">
      <selection activeCell="E39" sqref="E39"/>
    </sheetView>
  </sheetViews>
  <sheetFormatPr baseColWidth="10" defaultRowHeight="15" x14ac:dyDescent="0"/>
  <cols>
    <col min="2" max="2" width="45.33203125" customWidth="1"/>
    <col min="3" max="3" width="26.33203125" customWidth="1"/>
    <col min="6" max="6" width="41" customWidth="1"/>
  </cols>
  <sheetData>
    <row r="5" spans="2:7">
      <c r="F5" s="17" t="s">
        <v>323</v>
      </c>
    </row>
    <row r="6" spans="2:7">
      <c r="B6" s="21" t="s">
        <v>290</v>
      </c>
      <c r="C6" s="19" t="s">
        <v>10</v>
      </c>
      <c r="F6" s="6" t="s">
        <v>288</v>
      </c>
      <c r="G6" s="7" t="s">
        <v>287</v>
      </c>
    </row>
    <row r="7" spans="2:7">
      <c r="B7" s="21" t="s">
        <v>299</v>
      </c>
      <c r="C7" s="19" t="s">
        <v>19</v>
      </c>
      <c r="F7" s="10" t="s">
        <v>118</v>
      </c>
      <c r="G7" s="8">
        <v>0.1</v>
      </c>
    </row>
    <row r="8" spans="2:7">
      <c r="B8" s="21" t="s">
        <v>300</v>
      </c>
      <c r="C8" s="19" t="s">
        <v>20</v>
      </c>
      <c r="F8" s="10" t="s">
        <v>137</v>
      </c>
      <c r="G8" s="8">
        <v>0.1</v>
      </c>
    </row>
    <row r="9" spans="2:7">
      <c r="B9" s="21" t="s">
        <v>301</v>
      </c>
      <c r="C9" s="19" t="s">
        <v>21</v>
      </c>
      <c r="F9" s="10" t="s">
        <v>163</v>
      </c>
      <c r="G9" s="8">
        <v>0.05</v>
      </c>
    </row>
    <row r="10" spans="2:7">
      <c r="B10" s="21" t="s">
        <v>302</v>
      </c>
      <c r="C10" s="19" t="s">
        <v>22</v>
      </c>
      <c r="F10" s="10" t="s">
        <v>174</v>
      </c>
      <c r="G10" s="8">
        <v>0.05</v>
      </c>
    </row>
    <row r="11" spans="2:7">
      <c r="B11" s="21" t="s">
        <v>303</v>
      </c>
      <c r="C11" s="19" t="s">
        <v>23</v>
      </c>
      <c r="F11" s="10" t="s">
        <v>185</v>
      </c>
      <c r="G11" s="8">
        <v>0.05</v>
      </c>
    </row>
    <row r="12" spans="2:7">
      <c r="B12" s="21" t="s">
        <v>304</v>
      </c>
      <c r="C12" s="19" t="s">
        <v>24</v>
      </c>
      <c r="F12" s="10" t="s">
        <v>197</v>
      </c>
      <c r="G12" s="8">
        <v>0.2</v>
      </c>
    </row>
    <row r="13" spans="2:7" ht="30">
      <c r="B13" s="21" t="s">
        <v>305</v>
      </c>
      <c r="C13" s="19" t="s">
        <v>25</v>
      </c>
      <c r="F13" s="26" t="s">
        <v>344</v>
      </c>
      <c r="G13" s="8">
        <v>0.05</v>
      </c>
    </row>
    <row r="14" spans="2:7">
      <c r="B14" s="21" t="s">
        <v>306</v>
      </c>
      <c r="C14" s="19" t="s">
        <v>26</v>
      </c>
      <c r="F14" s="10" t="s">
        <v>223</v>
      </c>
      <c r="G14" s="8">
        <v>0.05</v>
      </c>
    </row>
    <row r="15" spans="2:7">
      <c r="B15" s="21" t="s">
        <v>308</v>
      </c>
      <c r="C15" s="19" t="s">
        <v>27</v>
      </c>
      <c r="F15" s="10" t="s">
        <v>233</v>
      </c>
      <c r="G15" s="8">
        <v>0.05</v>
      </c>
    </row>
    <row r="16" spans="2:7">
      <c r="B16" s="21" t="s">
        <v>307</v>
      </c>
      <c r="C16" s="19" t="s">
        <v>28</v>
      </c>
      <c r="F16" s="10" t="s">
        <v>254</v>
      </c>
      <c r="G16" s="8">
        <v>0.05</v>
      </c>
    </row>
    <row r="17" spans="2:7">
      <c r="B17" s="21" t="s">
        <v>291</v>
      </c>
      <c r="C17" s="19" t="s">
        <v>11</v>
      </c>
      <c r="F17" s="10" t="s">
        <v>260</v>
      </c>
      <c r="G17" s="8">
        <v>0.1</v>
      </c>
    </row>
    <row r="18" spans="2:7">
      <c r="B18" s="21" t="s">
        <v>309</v>
      </c>
      <c r="C18" s="19" t="s">
        <v>29</v>
      </c>
      <c r="F18" s="10" t="s">
        <v>269</v>
      </c>
      <c r="G18" s="8">
        <v>0.15</v>
      </c>
    </row>
    <row r="19" spans="2:7">
      <c r="B19" s="21" t="s">
        <v>310</v>
      </c>
      <c r="C19" s="19" t="s">
        <v>30</v>
      </c>
      <c r="F19" s="11" t="s">
        <v>289</v>
      </c>
      <c r="G19" s="9">
        <f>+SUM(G7:G18)</f>
        <v>1.0000000000000002</v>
      </c>
    </row>
    <row r="20" spans="2:7">
      <c r="B20" s="21" t="s">
        <v>311</v>
      </c>
      <c r="C20" s="19" t="s">
        <v>31</v>
      </c>
    </row>
    <row r="21" spans="2:7">
      <c r="B21" s="21" t="s">
        <v>312</v>
      </c>
      <c r="C21" s="19" t="s">
        <v>32</v>
      </c>
    </row>
    <row r="22" spans="2:7">
      <c r="B22" s="21" t="s">
        <v>313</v>
      </c>
      <c r="C22" s="19" t="s">
        <v>33</v>
      </c>
    </row>
    <row r="23" spans="2:7">
      <c r="B23" s="21" t="s">
        <v>292</v>
      </c>
      <c r="C23" s="19" t="s">
        <v>12</v>
      </c>
    </row>
    <row r="24" spans="2:7">
      <c r="B24" s="21" t="s">
        <v>293</v>
      </c>
      <c r="C24" s="19" t="s">
        <v>13</v>
      </c>
    </row>
    <row r="25" spans="2:7">
      <c r="B25" s="21" t="s">
        <v>294</v>
      </c>
      <c r="C25" s="19" t="s">
        <v>14</v>
      </c>
    </row>
    <row r="26" spans="2:7">
      <c r="B26" s="21" t="s">
        <v>295</v>
      </c>
      <c r="C26" s="19" t="s">
        <v>15</v>
      </c>
    </row>
    <row r="27" spans="2:7">
      <c r="B27" s="21" t="s">
        <v>296</v>
      </c>
      <c r="C27" s="19" t="s">
        <v>16</v>
      </c>
    </row>
    <row r="28" spans="2:7">
      <c r="B28" s="21" t="s">
        <v>297</v>
      </c>
      <c r="C28" s="19" t="s">
        <v>318</v>
      </c>
    </row>
    <row r="29" spans="2:7">
      <c r="B29" s="21" t="s">
        <v>298</v>
      </c>
      <c r="C29" s="19" t="s">
        <v>18</v>
      </c>
    </row>
  </sheetData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4"/>
  <sheetViews>
    <sheetView workbookViewId="0">
      <selection activeCell="G2" sqref="G2:R2"/>
    </sheetView>
  </sheetViews>
  <sheetFormatPr baseColWidth="10" defaultRowHeight="15" x14ac:dyDescent="0"/>
  <cols>
    <col min="1" max="16384" width="10.83203125" style="149"/>
  </cols>
  <sheetData>
    <row r="2" spans="7:20" ht="23">
      <c r="G2" s="150" t="s">
        <v>380</v>
      </c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</row>
    <row r="3" spans="7:20" ht="23">
      <c r="G3" s="150" t="s">
        <v>381</v>
      </c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</row>
    <row r="4" spans="7:20">
      <c r="T4" s="211" t="s">
        <v>393</v>
      </c>
    </row>
    <row r="30" spans="2:16">
      <c r="B30" s="151" t="s">
        <v>382</v>
      </c>
      <c r="I30" s="151" t="s">
        <v>382</v>
      </c>
      <c r="P30" s="151" t="s">
        <v>382</v>
      </c>
    </row>
    <row r="54" spans="2:16">
      <c r="B54" s="151" t="s">
        <v>382</v>
      </c>
      <c r="I54" s="151" t="s">
        <v>382</v>
      </c>
      <c r="P54" s="151" t="s">
        <v>382</v>
      </c>
    </row>
    <row r="78" spans="2:16">
      <c r="B78" s="151" t="s">
        <v>382</v>
      </c>
      <c r="I78" s="151" t="s">
        <v>382</v>
      </c>
      <c r="P78" s="151" t="s">
        <v>382</v>
      </c>
    </row>
    <row r="104" spans="2:16">
      <c r="B104" s="151" t="s">
        <v>382</v>
      </c>
      <c r="I104" s="151" t="s">
        <v>382</v>
      </c>
      <c r="P104" s="151" t="s">
        <v>382</v>
      </c>
    </row>
  </sheetData>
  <mergeCells count="2">
    <mergeCell ref="G2:R2"/>
    <mergeCell ref="G3:R3"/>
  </mergeCells>
  <hyperlinks>
    <hyperlink ref="T4" location="Indice!A1" display="ÍNDICE"/>
  </hyperlinks>
  <pageMargins left="0.75" right="0.75" top="1" bottom="1" header="0.5" footer="0.5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D33"/>
  <sheetViews>
    <sheetView topLeftCell="AH4" workbookViewId="0">
      <selection activeCell="AT6" sqref="AT6"/>
    </sheetView>
  </sheetViews>
  <sheetFormatPr baseColWidth="10" defaultRowHeight="15" x14ac:dyDescent="0"/>
  <cols>
    <col min="1" max="1" width="0" style="154" hidden="1" customWidth="1"/>
    <col min="2" max="2" width="36" style="157" hidden="1" customWidth="1"/>
    <col min="3" max="3" width="13.33203125" style="157" hidden="1" customWidth="1"/>
    <col min="4" max="4" width="0" style="157" hidden="1" customWidth="1"/>
    <col min="5" max="5" width="3.33203125" style="157" customWidth="1"/>
    <col min="6" max="6" width="8.6640625" style="157" customWidth="1"/>
    <col min="7" max="7" width="14" style="157" hidden="1" customWidth="1"/>
    <col min="8" max="8" width="26.5" style="157" customWidth="1"/>
    <col min="9" max="10" width="10.83203125" style="157"/>
    <col min="11" max="11" width="4" style="157" customWidth="1"/>
    <col min="12" max="12" width="10.83203125" style="157"/>
    <col min="13" max="13" width="10.83203125" style="157" hidden="1" customWidth="1"/>
    <col min="14" max="14" width="26.83203125" style="157" customWidth="1"/>
    <col min="15" max="16" width="10.83203125" style="157"/>
    <col min="17" max="17" width="4.33203125" style="157" customWidth="1"/>
    <col min="18" max="18" width="0" style="157" hidden="1" customWidth="1"/>
    <col min="19" max="19" width="10.83203125" style="157" hidden="1" customWidth="1"/>
    <col min="20" max="20" width="35.6640625" style="157" customWidth="1"/>
    <col min="21" max="22" width="10.83203125" style="157"/>
    <col min="23" max="23" width="4.83203125" style="157" customWidth="1"/>
    <col min="24" max="24" width="9.33203125" style="157" customWidth="1"/>
    <col min="25" max="25" width="10.83203125" style="157" hidden="1" customWidth="1"/>
    <col min="26" max="26" width="27" style="157" customWidth="1"/>
    <col min="27" max="28" width="10.83203125" style="157"/>
    <col min="29" max="29" width="4.1640625" style="157" customWidth="1"/>
    <col min="30" max="30" width="9" style="157" customWidth="1"/>
    <col min="31" max="31" width="10.83203125" style="157" hidden="1" customWidth="1"/>
    <col min="32" max="32" width="26.6640625" style="157" customWidth="1"/>
    <col min="33" max="34" width="10.83203125" style="157"/>
    <col min="35" max="35" width="3.6640625" style="157" customWidth="1"/>
    <col min="36" max="36" width="9.6640625" style="157" customWidth="1"/>
    <col min="37" max="37" width="10.83203125" style="157" hidden="1" customWidth="1"/>
    <col min="38" max="38" width="26.33203125" style="157" customWidth="1"/>
    <col min="39" max="40" width="10.83203125" style="157"/>
    <col min="41" max="41" width="4" style="157" customWidth="1"/>
    <col min="42" max="42" width="9.33203125" style="157" customWidth="1"/>
    <col min="43" max="43" width="10.83203125" style="157" hidden="1" customWidth="1"/>
    <col min="44" max="44" width="26.6640625" style="157" customWidth="1"/>
    <col min="45" max="46" width="10.83203125" style="157"/>
    <col min="47" max="47" width="3.5" style="157" customWidth="1"/>
    <col min="48" max="48" width="10.83203125" style="157"/>
    <col min="49" max="49" width="10.83203125" style="157" hidden="1" customWidth="1"/>
    <col min="50" max="50" width="26.5" style="157" customWidth="1"/>
    <col min="51" max="52" width="10.83203125" style="157"/>
    <col min="53" max="53" width="3.83203125" style="157" customWidth="1"/>
    <col min="54" max="54" width="10.83203125" style="157"/>
    <col min="55" max="55" width="10.83203125" style="157" hidden="1" customWidth="1"/>
    <col min="56" max="56" width="26.33203125" style="157" customWidth="1"/>
    <col min="57" max="58" width="10.83203125" style="157"/>
    <col min="59" max="59" width="3.6640625" style="157" customWidth="1"/>
    <col min="60" max="60" width="10.83203125" style="157"/>
    <col min="61" max="61" width="10.83203125" style="157" hidden="1" customWidth="1"/>
    <col min="62" max="62" width="27" style="157" customWidth="1"/>
    <col min="63" max="64" width="10.83203125" style="157"/>
    <col min="65" max="65" width="4.33203125" style="157" customWidth="1"/>
    <col min="66" max="66" width="10.83203125" style="157"/>
    <col min="67" max="67" width="10.83203125" style="157" hidden="1" customWidth="1"/>
    <col min="68" max="68" width="26.5" style="157" customWidth="1"/>
    <col min="69" max="70" width="10.83203125" style="157"/>
    <col min="71" max="71" width="4.1640625" style="157" customWidth="1"/>
    <col min="72" max="72" width="10.83203125" style="157"/>
    <col min="73" max="73" width="10.83203125" style="157" hidden="1" customWidth="1"/>
    <col min="74" max="74" width="27.1640625" style="157" customWidth="1"/>
    <col min="75" max="76" width="10.83203125" style="157"/>
    <col min="77" max="77" width="3.33203125" style="157" customWidth="1"/>
    <col min="78" max="78" width="10.83203125" style="157"/>
    <col min="79" max="79" width="10.83203125" style="157" hidden="1" customWidth="1"/>
    <col min="80" max="80" width="26.6640625" style="157" customWidth="1"/>
    <col min="81" max="16384" width="10.83203125" style="157"/>
  </cols>
  <sheetData>
    <row r="6" spans="1:82">
      <c r="J6" s="211" t="s">
        <v>393</v>
      </c>
      <c r="V6" s="211" t="s">
        <v>393</v>
      </c>
      <c r="AH6" s="211" t="s">
        <v>393</v>
      </c>
      <c r="AT6" s="211" t="s">
        <v>393</v>
      </c>
      <c r="BF6" s="211" t="s">
        <v>393</v>
      </c>
      <c r="BR6" s="211" t="s">
        <v>393</v>
      </c>
      <c r="CD6" s="211" t="s">
        <v>393</v>
      </c>
    </row>
    <row r="7" spans="1:82" s="153" customFormat="1" ht="43" customHeight="1">
      <c r="A7" s="152"/>
      <c r="E7" s="164"/>
      <c r="F7" s="165"/>
      <c r="G7" s="165"/>
      <c r="H7" s="165" t="str">
        <f>+'Total General'!A33</f>
        <v>Promedio de Total general</v>
      </c>
      <c r="I7" s="165"/>
      <c r="K7" s="164"/>
      <c r="L7" s="165"/>
      <c r="M7" s="165"/>
      <c r="N7" s="165" t="str">
        <f>+'Total General'!H33</f>
        <v>Promedio de Desempeño Económico</v>
      </c>
      <c r="O7" s="165"/>
      <c r="Q7" s="164"/>
      <c r="R7" s="165"/>
      <c r="S7" s="165"/>
      <c r="T7" s="165" t="str">
        <f>+'Total General'!O33</f>
        <v>Promedio de Empleo</v>
      </c>
      <c r="U7" s="165"/>
      <c r="W7" s="164"/>
      <c r="X7" s="165"/>
      <c r="Y7" s="165"/>
      <c r="Z7" s="165" t="str">
        <f>+'Total General'!V33</f>
        <v>Promedio de Gestión Empresarial</v>
      </c>
      <c r="AA7" s="165"/>
      <c r="AC7" s="164"/>
      <c r="AD7" s="165"/>
      <c r="AE7" s="165"/>
      <c r="AF7" s="165" t="str">
        <f>+'Total General'!AC33</f>
        <v>Promedio de Infraestructura y Localización</v>
      </c>
      <c r="AG7" s="165"/>
      <c r="AI7" s="164"/>
      <c r="AJ7" s="165"/>
      <c r="AK7" s="165"/>
      <c r="AL7" s="165" t="str">
        <f>+'Total General'!AJ33</f>
        <v>Promedio de Internacionalización y Apertura</v>
      </c>
      <c r="AM7" s="165"/>
      <c r="AO7" s="164"/>
      <c r="AP7" s="165"/>
      <c r="AQ7" s="165"/>
      <c r="AR7" s="165" t="str">
        <f>+'Total General'!AQ33</f>
        <v>Promedio de Mercados financieros</v>
      </c>
      <c r="AS7" s="165"/>
      <c r="AU7" s="164"/>
      <c r="AV7" s="165"/>
      <c r="AW7" s="165"/>
      <c r="AX7" s="165" t="str">
        <f>+'Total General'!AX33</f>
        <v>Promedio de Urbanización</v>
      </c>
      <c r="AY7" s="165"/>
      <c r="BA7" s="164"/>
      <c r="BB7" s="165"/>
      <c r="BC7" s="165"/>
      <c r="BD7" s="165" t="str">
        <f>+'Total General'!BE33</f>
        <v>Promedio de Desarrollo Integral de las personas</v>
      </c>
      <c r="BE7" s="165"/>
      <c r="BG7" s="164"/>
      <c r="BH7" s="165"/>
      <c r="BI7" s="165"/>
      <c r="BJ7" s="165" t="str">
        <f>+'Total General'!BL33</f>
        <v>Promedio de Gestión, Gobiernos e Instituciones</v>
      </c>
      <c r="BK7" s="165"/>
      <c r="BM7" s="164"/>
      <c r="BN7" s="165"/>
      <c r="BO7" s="165"/>
      <c r="BP7" s="165" t="str">
        <f>+'Total General'!BS33</f>
        <v>Promedio de Recursos Naturales y Ambiente</v>
      </c>
      <c r="BQ7" s="165"/>
      <c r="BS7" s="164"/>
      <c r="BT7" s="165"/>
      <c r="BU7" s="165"/>
      <c r="BV7" s="165" t="str">
        <f>+'Total General'!BZ33</f>
        <v>Promedio de Seguridad Jurídica</v>
      </c>
      <c r="BW7" s="165"/>
      <c r="BY7" s="164"/>
      <c r="BZ7" s="165"/>
      <c r="CA7" s="165"/>
      <c r="CB7" s="165" t="str">
        <f>+'Total General'!CG33</f>
        <v>Promedio de Habilitantes de Innovación, Ciencia y Tecnología</v>
      </c>
      <c r="CC7" s="165"/>
    </row>
    <row r="8" spans="1:82">
      <c r="B8" s="155" t="s">
        <v>288</v>
      </c>
      <c r="C8" s="156" t="s">
        <v>287</v>
      </c>
      <c r="D8" s="163"/>
      <c r="E8" s="178"/>
      <c r="F8" s="22" t="s">
        <v>319</v>
      </c>
      <c r="G8" s="22" t="s">
        <v>324</v>
      </c>
      <c r="H8" s="22" t="s">
        <v>320</v>
      </c>
      <c r="I8" s="22" t="s">
        <v>321</v>
      </c>
      <c r="J8" s="168"/>
      <c r="K8" s="178"/>
      <c r="L8" s="171" t="s">
        <v>319</v>
      </c>
      <c r="M8" s="171" t="s">
        <v>324</v>
      </c>
      <c r="N8" s="171" t="s">
        <v>320</v>
      </c>
      <c r="O8" s="171" t="s">
        <v>321</v>
      </c>
      <c r="P8" s="168"/>
      <c r="Q8" s="178"/>
      <c r="R8" s="171" t="s">
        <v>319</v>
      </c>
      <c r="S8" s="171" t="s">
        <v>324</v>
      </c>
      <c r="T8" s="171" t="s">
        <v>320</v>
      </c>
      <c r="U8" s="171" t="s">
        <v>321</v>
      </c>
      <c r="V8" s="168"/>
      <c r="W8" s="178"/>
      <c r="X8" s="171" t="s">
        <v>319</v>
      </c>
      <c r="Y8" s="171" t="s">
        <v>324</v>
      </c>
      <c r="Z8" s="171" t="s">
        <v>320</v>
      </c>
      <c r="AA8" s="171" t="s">
        <v>321</v>
      </c>
      <c r="AB8" s="168"/>
      <c r="AC8" s="178"/>
      <c r="AD8" s="171" t="s">
        <v>319</v>
      </c>
      <c r="AE8" s="171" t="s">
        <v>324</v>
      </c>
      <c r="AF8" s="171" t="s">
        <v>320</v>
      </c>
      <c r="AG8" s="171" t="s">
        <v>321</v>
      </c>
      <c r="AH8" s="168"/>
      <c r="AI8" s="178"/>
      <c r="AJ8" s="171" t="s">
        <v>319</v>
      </c>
      <c r="AK8" s="171" t="s">
        <v>324</v>
      </c>
      <c r="AL8" s="171" t="s">
        <v>320</v>
      </c>
      <c r="AM8" s="171" t="s">
        <v>321</v>
      </c>
      <c r="AN8" s="168"/>
      <c r="AO8" s="178"/>
      <c r="AP8" s="171" t="s">
        <v>319</v>
      </c>
      <c r="AQ8" s="171" t="s">
        <v>324</v>
      </c>
      <c r="AR8" s="171" t="s">
        <v>320</v>
      </c>
      <c r="AS8" s="171" t="s">
        <v>321</v>
      </c>
      <c r="AT8" s="168"/>
      <c r="AU8" s="177"/>
      <c r="AV8" s="171" t="s">
        <v>319</v>
      </c>
      <c r="AW8" s="171" t="s">
        <v>324</v>
      </c>
      <c r="AX8" s="171" t="s">
        <v>320</v>
      </c>
      <c r="AY8" s="171" t="s">
        <v>321</v>
      </c>
      <c r="AZ8" s="168"/>
      <c r="BA8" s="177"/>
      <c r="BB8" s="171" t="s">
        <v>319</v>
      </c>
      <c r="BC8" s="171" t="s">
        <v>324</v>
      </c>
      <c r="BD8" s="171" t="s">
        <v>320</v>
      </c>
      <c r="BE8" s="171" t="s">
        <v>321</v>
      </c>
      <c r="BF8" s="168"/>
      <c r="BG8" s="177"/>
      <c r="BH8" s="171" t="s">
        <v>319</v>
      </c>
      <c r="BI8" s="171" t="s">
        <v>324</v>
      </c>
      <c r="BJ8" s="171" t="s">
        <v>320</v>
      </c>
      <c r="BK8" s="171" t="s">
        <v>321</v>
      </c>
      <c r="BL8" s="168"/>
      <c r="BM8" s="177"/>
      <c r="BN8" s="171" t="s">
        <v>319</v>
      </c>
      <c r="BO8" s="171" t="s">
        <v>324</v>
      </c>
      <c r="BP8" s="171" t="s">
        <v>320</v>
      </c>
      <c r="BQ8" s="171" t="s">
        <v>321</v>
      </c>
      <c r="BR8" s="168"/>
      <c r="BS8" s="177"/>
      <c r="BT8" s="171" t="s">
        <v>319</v>
      </c>
      <c r="BU8" s="171" t="s">
        <v>324</v>
      </c>
      <c r="BV8" s="171" t="s">
        <v>320</v>
      </c>
      <c r="BW8" s="171" t="s">
        <v>321</v>
      </c>
      <c r="BX8" s="168"/>
      <c r="BY8" s="177"/>
      <c r="BZ8" s="171" t="s">
        <v>319</v>
      </c>
      <c r="CA8" s="171" t="s">
        <v>324</v>
      </c>
      <c r="CB8" s="171" t="s">
        <v>320</v>
      </c>
      <c r="CC8" s="171" t="s">
        <v>321</v>
      </c>
      <c r="CD8" s="154"/>
    </row>
    <row r="9" spans="1:82">
      <c r="A9" s="154">
        <v>1</v>
      </c>
      <c r="B9" s="158" t="s">
        <v>137</v>
      </c>
      <c r="C9" s="159">
        <v>0.15</v>
      </c>
      <c r="D9" s="163"/>
      <c r="E9" s="118" t="s">
        <v>325</v>
      </c>
      <c r="F9" s="4">
        <v>1</v>
      </c>
      <c r="G9" s="4" t="str">
        <f>+'Total General'!A35</f>
        <v xml:space="preserve">Promedio de 19. Pichincha - Estándar </v>
      </c>
      <c r="H9" s="4" t="str">
        <f>+VLOOKUP(G9,Listas!$B$6:$C$29,2,FALSE)</f>
        <v>Pichincha</v>
      </c>
      <c r="I9" s="20">
        <f>+'Total General'!B35</f>
        <v>72.606087506553791</v>
      </c>
      <c r="J9" s="169"/>
      <c r="K9" s="172" t="s">
        <v>325</v>
      </c>
      <c r="L9" s="170">
        <v>1</v>
      </c>
      <c r="M9" s="170" t="str">
        <f>+'Total General'!H35</f>
        <v xml:space="preserve">Promedio de 19. Pichincha - Estándar </v>
      </c>
      <c r="N9" s="170" t="str">
        <f>+VLOOKUP(M9,Listas!$B$6:$C$29,2,FALSE)</f>
        <v>Pichincha</v>
      </c>
      <c r="O9" s="173">
        <f>+'Total General'!I35</f>
        <v>79.713315598302742</v>
      </c>
      <c r="P9" s="168"/>
      <c r="Q9" s="172" t="s">
        <v>325</v>
      </c>
      <c r="R9" s="170">
        <v>1</v>
      </c>
      <c r="S9" s="170" t="str">
        <f>+'Total General'!O35</f>
        <v xml:space="preserve">Promedio de 9. Galápagos - Estándar </v>
      </c>
      <c r="T9" s="170" t="str">
        <f>+VLOOKUP(S9,Listas!$B$6:$C$29,2,FALSE)</f>
        <v>Galápagos</v>
      </c>
      <c r="U9" s="173">
        <f>+'Total General'!P35</f>
        <v>89.853417899929582</v>
      </c>
      <c r="V9" s="168"/>
      <c r="W9" s="172" t="s">
        <v>325</v>
      </c>
      <c r="X9" s="170">
        <v>1</v>
      </c>
      <c r="Y9" s="170" t="str">
        <f>+'Total General'!V35</f>
        <v xml:space="preserve">Promedio de 19. Pichincha - Estándar </v>
      </c>
      <c r="Z9" s="170" t="str">
        <f>+VLOOKUP(Y9,Listas!$B$6:$C$29,2,FALSE)</f>
        <v>Pichincha</v>
      </c>
      <c r="AA9" s="173">
        <f>+'Total General'!W35</f>
        <v>81.019166845981928</v>
      </c>
      <c r="AB9" s="168"/>
      <c r="AC9" s="172" t="s">
        <v>325</v>
      </c>
      <c r="AD9" s="170">
        <v>1</v>
      </c>
      <c r="AE9" s="170" t="str">
        <f>+'Total General'!AC35</f>
        <v xml:space="preserve">Promedio de 19. Pichincha - Estándar </v>
      </c>
      <c r="AF9" s="170" t="str">
        <f>+VLOOKUP(AE9,Listas!$B$6:$C$29,2,FALSE)</f>
        <v>Pichincha</v>
      </c>
      <c r="AG9" s="173">
        <f>+'Total General'!AD35</f>
        <v>81.071609676744174</v>
      </c>
      <c r="AH9" s="168"/>
      <c r="AI9" s="172" t="s">
        <v>325</v>
      </c>
      <c r="AJ9" s="170">
        <v>1</v>
      </c>
      <c r="AK9" s="170" t="str">
        <f>+'Total General'!AJ35</f>
        <v xml:space="preserve">Promedio de 19. Pichincha - Estándar </v>
      </c>
      <c r="AL9" s="170" t="str">
        <f>+VLOOKUP(AK9,Listas!$B$6:$C$29,2,FALSE)</f>
        <v>Pichincha</v>
      </c>
      <c r="AM9" s="173">
        <f>+'Total General'!AK35</f>
        <v>82.301898322812576</v>
      </c>
      <c r="AN9" s="168"/>
      <c r="AO9" s="172" t="s">
        <v>325</v>
      </c>
      <c r="AP9" s="170">
        <v>1</v>
      </c>
      <c r="AQ9" s="170" t="str">
        <f>+'Total General'!AQ35</f>
        <v xml:space="preserve">Promedio de 19. Pichincha - Estándar </v>
      </c>
      <c r="AR9" s="170" t="str">
        <f>+VLOOKUP(AQ9,Listas!$B$6:$C$29,2,FALSE)</f>
        <v>Pichincha</v>
      </c>
      <c r="AS9" s="173">
        <f>+'Total General'!AR35</f>
        <v>78.97715440132761</v>
      </c>
      <c r="AT9" s="168"/>
      <c r="AU9" s="172" t="s">
        <v>325</v>
      </c>
      <c r="AV9" s="170">
        <v>1</v>
      </c>
      <c r="AW9" s="170" t="str">
        <f>+'Total General'!AX35</f>
        <v xml:space="preserve">Promedio de 19. Pichincha - Estándar </v>
      </c>
      <c r="AX9" s="170" t="str">
        <f>+VLOOKUP(AW9,Listas!$B$6:$C$29,2,FALSE)</f>
        <v>Pichincha</v>
      </c>
      <c r="AY9" s="173">
        <f>+'Total General'!AY35</f>
        <v>87.620446096752417</v>
      </c>
      <c r="AZ9" s="168"/>
      <c r="BA9" s="172" t="s">
        <v>325</v>
      </c>
      <c r="BB9" s="170">
        <v>1</v>
      </c>
      <c r="BC9" s="170" t="str">
        <f>+'Total General'!BE35</f>
        <v xml:space="preserve">Promedio de 9. Galápagos - Estándar </v>
      </c>
      <c r="BD9" s="170" t="str">
        <f>+VLOOKUP(BC9,Listas!$B$6:$C$29,2,FALSE)</f>
        <v>Galápagos</v>
      </c>
      <c r="BE9" s="173">
        <f>+'Total General'!BF35</f>
        <v>79.964392399555592</v>
      </c>
      <c r="BF9" s="168"/>
      <c r="BG9" s="172" t="s">
        <v>325</v>
      </c>
      <c r="BH9" s="170">
        <v>1</v>
      </c>
      <c r="BI9" s="170" t="str">
        <f>+'Total General'!BL35</f>
        <v xml:space="preserve">Promedio de 9. Galápagos - Estándar </v>
      </c>
      <c r="BJ9" s="170" t="str">
        <f>+VLOOKUP(BI9,Listas!$B$6:$C$29,2,FALSE)</f>
        <v>Galápagos</v>
      </c>
      <c r="BK9" s="173">
        <f>+'Total General'!BM35</f>
        <v>74.029681925442702</v>
      </c>
      <c r="BL9" s="168"/>
      <c r="BM9" s="172" t="s">
        <v>325</v>
      </c>
      <c r="BN9" s="170">
        <v>1</v>
      </c>
      <c r="BO9" s="170" t="str">
        <f>+'Total General'!BS35</f>
        <v>Promedio de 24. Santo Domingo de los Tsachilas</v>
      </c>
      <c r="BP9" s="170" t="str">
        <f>+VLOOKUP(BO9,Listas!$B$6:$C$29,2,FALSE)</f>
        <v>Santo Domingo de los Tsachilas</v>
      </c>
      <c r="BQ9" s="173">
        <f>+'Total General'!BT35</f>
        <v>51.333589789961366</v>
      </c>
      <c r="BR9" s="168"/>
      <c r="BS9" s="172" t="s">
        <v>325</v>
      </c>
      <c r="BT9" s="170">
        <v>1</v>
      </c>
      <c r="BU9" s="170" t="str">
        <f>+'Total General'!BZ35</f>
        <v xml:space="preserve">Promedio de 9. Galápagos - Estándar </v>
      </c>
      <c r="BV9" s="170" t="str">
        <f>+VLOOKUP(BU9,Listas!$B$6:$C$29,2,FALSE)</f>
        <v>Galápagos</v>
      </c>
      <c r="BW9" s="173">
        <f>+'Total General'!CA35</f>
        <v>78.740250317897036</v>
      </c>
      <c r="BX9" s="168"/>
      <c r="BY9" s="172" t="s">
        <v>325</v>
      </c>
      <c r="BZ9" s="170">
        <v>1</v>
      </c>
      <c r="CA9" s="170" t="str">
        <f>+'Total General'!CG35</f>
        <v xml:space="preserve">Promedio de 19. Pichincha - Estándar </v>
      </c>
      <c r="CB9" s="170" t="str">
        <f>+VLOOKUP(CA9,Listas!$B$6:$C$29,2,FALSE)</f>
        <v>Pichincha</v>
      </c>
      <c r="CC9" s="173">
        <f>+'Total General'!CH35</f>
        <v>68.453370687455973</v>
      </c>
      <c r="CD9" s="154"/>
    </row>
    <row r="10" spans="1:82">
      <c r="A10" s="154">
        <v>2</v>
      </c>
      <c r="B10" s="158" t="s">
        <v>163</v>
      </c>
      <c r="C10" s="159">
        <v>0.1</v>
      </c>
      <c r="D10" s="163"/>
      <c r="E10" s="118"/>
      <c r="F10" s="4">
        <v>2</v>
      </c>
      <c r="G10" s="4" t="str">
        <f>+'Total General'!A36</f>
        <v xml:space="preserve">Promedio de 9. Galápagos - Estándar </v>
      </c>
      <c r="H10" s="4" t="str">
        <f>+VLOOKUP(G10,Listas!$B$6:$C$29,2,FALSE)</f>
        <v>Galápagos</v>
      </c>
      <c r="I10" s="20">
        <f>+'Total General'!B36</f>
        <v>54.752643578223434</v>
      </c>
      <c r="J10" s="169"/>
      <c r="K10" s="172"/>
      <c r="L10" s="170">
        <v>2</v>
      </c>
      <c r="M10" s="170" t="str">
        <f>+'Total General'!H36</f>
        <v xml:space="preserve">Promedio de 17. Francisco de Orellana - Estándar </v>
      </c>
      <c r="N10" s="170" t="str">
        <f>+VLOOKUP(M10,Listas!$B$6:$C$29,2,FALSE)</f>
        <v>Francisco de Orellana</v>
      </c>
      <c r="O10" s="173">
        <f>+'Total General'!I36</f>
        <v>55.142956952798293</v>
      </c>
      <c r="P10" s="168"/>
      <c r="Q10" s="172"/>
      <c r="R10" s="170">
        <v>2</v>
      </c>
      <c r="S10" s="170" t="str">
        <f>+'Total General'!O36</f>
        <v xml:space="preserve">Promedio de 5. Chimborazo - Estándar </v>
      </c>
      <c r="T10" s="170" t="str">
        <f>+VLOOKUP(S10,Listas!$B$6:$C$29,2,FALSE)</f>
        <v>Chimborazo</v>
      </c>
      <c r="U10" s="173">
        <f>+'Total General'!P36</f>
        <v>78.001621523719052</v>
      </c>
      <c r="V10" s="168"/>
      <c r="W10" s="172"/>
      <c r="X10" s="170">
        <v>2</v>
      </c>
      <c r="Y10" s="170" t="str">
        <f>+'Total General'!V36</f>
        <v xml:space="preserve">Promedio de 10. Guayas - Estándar </v>
      </c>
      <c r="Z10" s="170" t="str">
        <f>+VLOOKUP(Y10,Listas!$B$6:$C$29,2,FALSE)</f>
        <v>Guayas</v>
      </c>
      <c r="AA10" s="173">
        <f>+'Total General'!W36</f>
        <v>67.129352145025649</v>
      </c>
      <c r="AB10" s="168"/>
      <c r="AC10" s="172"/>
      <c r="AD10" s="170">
        <v>2</v>
      </c>
      <c r="AE10" s="170" t="str">
        <f>+'Total General'!AC36</f>
        <v>Promedio de 1. Azuay - Estandar</v>
      </c>
      <c r="AF10" s="170" t="str">
        <f>+VLOOKUP(AE10,Listas!$B$6:$C$29,2,FALSE)</f>
        <v>Azuay</v>
      </c>
      <c r="AG10" s="173">
        <f>+'Total General'!AD36</f>
        <v>75.82068883367036</v>
      </c>
      <c r="AH10" s="168"/>
      <c r="AI10" s="172"/>
      <c r="AJ10" s="170">
        <v>2</v>
      </c>
      <c r="AK10" s="170" t="str">
        <f>+'Total General'!AJ36</f>
        <v xml:space="preserve">Promedio de 10. Guayas - Estándar </v>
      </c>
      <c r="AL10" s="170" t="str">
        <f>+VLOOKUP(AK10,Listas!$B$6:$C$29,2,FALSE)</f>
        <v>Guayas</v>
      </c>
      <c r="AM10" s="173">
        <f>+'Total General'!AK36</f>
        <v>48.468861015080584</v>
      </c>
      <c r="AN10" s="168"/>
      <c r="AO10" s="172"/>
      <c r="AP10" s="170">
        <v>2</v>
      </c>
      <c r="AQ10" s="170" t="str">
        <f>+'Total General'!AQ36</f>
        <v xml:space="preserve">Promedio de 10. Guayas - Estándar </v>
      </c>
      <c r="AR10" s="170" t="str">
        <f>+VLOOKUP(AQ10,Listas!$B$6:$C$29,2,FALSE)</f>
        <v>Guayas</v>
      </c>
      <c r="AS10" s="173">
        <f>+'Total General'!AR36</f>
        <v>58.982295857430486</v>
      </c>
      <c r="AT10" s="168"/>
      <c r="AU10" s="172"/>
      <c r="AV10" s="170">
        <v>2</v>
      </c>
      <c r="AW10" s="170" t="str">
        <f>+'Total General'!AX36</f>
        <v xml:space="preserve">Promedio de 10. Guayas - Estándar </v>
      </c>
      <c r="AX10" s="170" t="str">
        <f>+VLOOKUP(AW10,Listas!$B$6:$C$29,2,FALSE)</f>
        <v>Guayas</v>
      </c>
      <c r="AY10" s="173">
        <f>+'Total General'!AY36</f>
        <v>67.785111808675751</v>
      </c>
      <c r="AZ10" s="168"/>
      <c r="BA10" s="172"/>
      <c r="BB10" s="170">
        <v>2</v>
      </c>
      <c r="BC10" s="170" t="str">
        <f>+'Total General'!BE36</f>
        <v xml:space="preserve">Promedio de 19. Pichincha - Estándar </v>
      </c>
      <c r="BD10" s="170" t="str">
        <f>+VLOOKUP(BC10,Listas!$B$6:$C$29,2,FALSE)</f>
        <v>Pichincha</v>
      </c>
      <c r="BE10" s="173">
        <f>+'Total General'!BF36</f>
        <v>76.773191058661112</v>
      </c>
      <c r="BF10" s="168"/>
      <c r="BG10" s="172"/>
      <c r="BH10" s="170">
        <v>2</v>
      </c>
      <c r="BI10" s="170" t="str">
        <f>+'Total General'!BL36</f>
        <v xml:space="preserve">Promedio de 19. Pichincha - Estándar </v>
      </c>
      <c r="BJ10" s="170" t="str">
        <f>+VLOOKUP(BI10,Listas!$B$6:$C$29,2,FALSE)</f>
        <v>Pichincha</v>
      </c>
      <c r="BK10" s="173">
        <f>+'Total General'!BM36</f>
        <v>63.622607841463342</v>
      </c>
      <c r="BL10" s="168"/>
      <c r="BM10" s="172"/>
      <c r="BN10" s="170">
        <v>2</v>
      </c>
      <c r="BO10" s="170" t="str">
        <f>+'Total General'!BS36</f>
        <v xml:space="preserve">Promedio de 9. Galápagos - Estándar </v>
      </c>
      <c r="BP10" s="170" t="str">
        <f>+VLOOKUP(BO10,Listas!$B$6:$C$29,2,FALSE)</f>
        <v>Galápagos</v>
      </c>
      <c r="BQ10" s="173">
        <f>+'Total General'!BT36</f>
        <v>50</v>
      </c>
      <c r="BR10" s="168"/>
      <c r="BS10" s="172"/>
      <c r="BT10" s="170">
        <v>2</v>
      </c>
      <c r="BU10" s="170" t="str">
        <f>+'Total General'!BZ36</f>
        <v>Promedio de 23. Santa Elena</v>
      </c>
      <c r="BV10" s="170" t="str">
        <f>+VLOOKUP(BU10,Listas!$B$6:$C$29,2,FALSE)</f>
        <v>Santa Elena</v>
      </c>
      <c r="BW10" s="173">
        <f>+'Total General'!CA36</f>
        <v>58.690096321824583</v>
      </c>
      <c r="BX10" s="168"/>
      <c r="BY10" s="172"/>
      <c r="BZ10" s="170">
        <v>2</v>
      </c>
      <c r="CA10" s="170" t="str">
        <f>+'Total General'!CG36</f>
        <v xml:space="preserve">Promedio de 9. Galápagos - Estándar </v>
      </c>
      <c r="CB10" s="170" t="str">
        <f>+VLOOKUP(CA10,Listas!$B$6:$C$29,2,FALSE)</f>
        <v>Galápagos</v>
      </c>
      <c r="CC10" s="173">
        <f>+'Total General'!CH36</f>
        <v>68.291430792095767</v>
      </c>
      <c r="CD10" s="154"/>
    </row>
    <row r="11" spans="1:82">
      <c r="A11" s="154">
        <v>3</v>
      </c>
      <c r="B11" s="158" t="s">
        <v>174</v>
      </c>
      <c r="C11" s="159">
        <v>0.1</v>
      </c>
      <c r="D11" s="163"/>
      <c r="E11" s="118"/>
      <c r="F11" s="4">
        <v>3</v>
      </c>
      <c r="G11" s="4" t="str">
        <f>+'Total General'!A37</f>
        <v xml:space="preserve">Promedio de 10. Guayas - Estándar </v>
      </c>
      <c r="H11" s="4" t="str">
        <f>+VLOOKUP(G11,Listas!$B$6:$C$29,2,FALSE)</f>
        <v>Guayas</v>
      </c>
      <c r="I11" s="20">
        <f>+'Total General'!B37</f>
        <v>47.833540790853192</v>
      </c>
      <c r="J11" s="169"/>
      <c r="K11" s="172"/>
      <c r="L11" s="170">
        <v>3</v>
      </c>
      <c r="M11" s="170" t="str">
        <f>+'Total General'!H37</f>
        <v xml:space="preserve">Promedio de 9. Galápagos - Estándar </v>
      </c>
      <c r="N11" s="170" t="str">
        <f>+VLOOKUP(M11,Listas!$B$6:$C$29,2,FALSE)</f>
        <v>Galápagos</v>
      </c>
      <c r="O11" s="173">
        <f>+'Total General'!I37</f>
        <v>47.547021686748124</v>
      </c>
      <c r="P11" s="168"/>
      <c r="Q11" s="172"/>
      <c r="R11" s="170">
        <v>3</v>
      </c>
      <c r="S11" s="170" t="str">
        <f>+'Total General'!O37</f>
        <v>Promedio de 1. Azuay - Estandar</v>
      </c>
      <c r="T11" s="170" t="str">
        <f>+VLOOKUP(S11,Listas!$B$6:$C$29,2,FALSE)</f>
        <v>Azuay</v>
      </c>
      <c r="U11" s="173">
        <f>+'Total General'!P37</f>
        <v>76.41402986100718</v>
      </c>
      <c r="V11" s="168"/>
      <c r="W11" s="172"/>
      <c r="X11" s="170">
        <v>3</v>
      </c>
      <c r="Y11" s="170" t="str">
        <f>+'Total General'!V37</f>
        <v xml:space="preserve">Promedio de 9. Galápagos - Estándar </v>
      </c>
      <c r="Z11" s="170" t="str">
        <f>+VLOOKUP(Y11,Listas!$B$6:$C$29,2,FALSE)</f>
        <v>Galápagos</v>
      </c>
      <c r="AA11" s="173">
        <f>+'Total General'!W37</f>
        <v>47.256519181103876</v>
      </c>
      <c r="AB11" s="168"/>
      <c r="AC11" s="172"/>
      <c r="AD11" s="170">
        <v>3</v>
      </c>
      <c r="AE11" s="170" t="str">
        <f>+'Total General'!AC37</f>
        <v xml:space="preserve">Promedio de 10. Guayas - Estándar </v>
      </c>
      <c r="AF11" s="170" t="str">
        <f>+VLOOKUP(AE11,Listas!$B$6:$C$29,2,FALSE)</f>
        <v>Guayas</v>
      </c>
      <c r="AG11" s="173">
        <f>+'Total General'!AD37</f>
        <v>72.937120904801702</v>
      </c>
      <c r="AH11" s="168"/>
      <c r="AI11" s="172"/>
      <c r="AJ11" s="170">
        <v>3</v>
      </c>
      <c r="AK11" s="170" t="str">
        <f>+'Total General'!AJ37</f>
        <v xml:space="preserve">Promedio de 9. Galápagos - Estándar </v>
      </c>
      <c r="AL11" s="170" t="str">
        <f>+VLOOKUP(AK11,Listas!$B$6:$C$29,2,FALSE)</f>
        <v>Galápagos</v>
      </c>
      <c r="AM11" s="173">
        <f>+'Total General'!AK37</f>
        <v>34.588247225839929</v>
      </c>
      <c r="AN11" s="168"/>
      <c r="AO11" s="172"/>
      <c r="AP11" s="170">
        <v>3</v>
      </c>
      <c r="AQ11" s="170" t="str">
        <f>+'Total General'!AQ37</f>
        <v>Promedio de 1. Azuay - Estandar</v>
      </c>
      <c r="AR11" s="170" t="str">
        <f>+VLOOKUP(AQ11,Listas!$B$6:$C$29,2,FALSE)</f>
        <v>Azuay</v>
      </c>
      <c r="AS11" s="173">
        <f>+'Total General'!AR37</f>
        <v>40.827968000960567</v>
      </c>
      <c r="AT11" s="168"/>
      <c r="AU11" s="172"/>
      <c r="AV11" s="170">
        <v>3</v>
      </c>
      <c r="AW11" s="170" t="str">
        <f>+'Total General'!AX37</f>
        <v xml:space="preserve">Promedio de 9. Galápagos - Estándar </v>
      </c>
      <c r="AX11" s="170" t="str">
        <f>+VLOOKUP(AW11,Listas!$B$6:$C$29,2,FALSE)</f>
        <v>Galápagos</v>
      </c>
      <c r="AY11" s="173">
        <f>+'Total General'!AY37</f>
        <v>64.849247259041078</v>
      </c>
      <c r="AZ11" s="168"/>
      <c r="BA11" s="172"/>
      <c r="BB11" s="170">
        <v>3</v>
      </c>
      <c r="BC11" s="170" t="str">
        <f>+'Total General'!BE37</f>
        <v xml:space="preserve">Promedio de 21. Tungurahua - Estáncar </v>
      </c>
      <c r="BD11" s="170" t="str">
        <f>+VLOOKUP(BC11,Listas!$B$6:$C$29,2,FALSE)</f>
        <v>Tungurahua</v>
      </c>
      <c r="BE11" s="173">
        <f>+'Total General'!BF37</f>
        <v>61.127621647540195</v>
      </c>
      <c r="BF11" s="168"/>
      <c r="BG11" s="172"/>
      <c r="BH11" s="170">
        <v>3</v>
      </c>
      <c r="BI11" s="170" t="str">
        <f>+'Total General'!BL37</f>
        <v xml:space="preserve">Promedio de 17. Francisco de Orellana - Estándar </v>
      </c>
      <c r="BJ11" s="170" t="str">
        <f>+VLOOKUP(BI11,Listas!$B$6:$C$29,2,FALSE)</f>
        <v>Francisco de Orellana</v>
      </c>
      <c r="BK11" s="173">
        <f>+'Total General'!BM37</f>
        <v>54.664802899120524</v>
      </c>
      <c r="BL11" s="168"/>
      <c r="BM11" s="172"/>
      <c r="BN11" s="170">
        <v>3</v>
      </c>
      <c r="BO11" s="170" t="str">
        <f>+'Total General'!BS37</f>
        <v xml:space="preserve">Promedio de 18. Pastaza - Estáncar </v>
      </c>
      <c r="BP11" s="170" t="str">
        <f>+VLOOKUP(BO11,Listas!$B$6:$C$29,2,FALSE)</f>
        <v>Pastaza</v>
      </c>
      <c r="BQ11" s="173">
        <f>+'Total General'!BT37</f>
        <v>49.637398478331349</v>
      </c>
      <c r="BR11" s="168"/>
      <c r="BS11" s="172"/>
      <c r="BT11" s="170">
        <v>3</v>
      </c>
      <c r="BU11" s="170" t="str">
        <f>+'Total General'!BZ37</f>
        <v xml:space="preserve">Promedio de 3. Cañar - Estándar </v>
      </c>
      <c r="BV11" s="170" t="str">
        <f>+VLOOKUP(BU11,Listas!$B$6:$C$29,2,FALSE)</f>
        <v>Cañar</v>
      </c>
      <c r="BW11" s="173">
        <f>+'Total General'!CA37</f>
        <v>55.239272929908687</v>
      </c>
      <c r="BX11" s="168"/>
      <c r="BY11" s="172"/>
      <c r="BZ11" s="170">
        <v>3</v>
      </c>
      <c r="CA11" s="170" t="str">
        <f>+'Total General'!CG37</f>
        <v xml:space="preserve">Promedio de 11. Imbabura -Estándar </v>
      </c>
      <c r="CB11" s="170" t="str">
        <f>+VLOOKUP(CA11,Listas!$B$6:$C$29,2,FALSE)</f>
        <v>Imbabura</v>
      </c>
      <c r="CC11" s="173">
        <f>+'Total General'!CH37</f>
        <v>66.898228095033318</v>
      </c>
      <c r="CD11" s="154"/>
    </row>
    <row r="12" spans="1:82">
      <c r="A12" s="154">
        <v>4</v>
      </c>
      <c r="B12" s="158" t="s">
        <v>197</v>
      </c>
      <c r="C12" s="159">
        <v>0.1</v>
      </c>
      <c r="D12" s="163"/>
      <c r="E12" s="118"/>
      <c r="F12" s="4">
        <v>4</v>
      </c>
      <c r="G12" s="4" t="str">
        <f>+'Total General'!A38</f>
        <v>Promedio de 1. Azuay - Estandar</v>
      </c>
      <c r="H12" s="4" t="str">
        <f>+VLOOKUP(G12,Listas!$B$6:$C$29,2,FALSE)</f>
        <v>Azuay</v>
      </c>
      <c r="I12" s="20">
        <f>+'Total General'!B38</f>
        <v>47.750362781198334</v>
      </c>
      <c r="J12" s="169"/>
      <c r="K12" s="172"/>
      <c r="L12" s="170">
        <v>4</v>
      </c>
      <c r="M12" s="170" t="str">
        <f>+'Total General'!H38</f>
        <v>Promedio de 1. Azuay - Estandar</v>
      </c>
      <c r="N12" s="170" t="str">
        <f>+VLOOKUP(M12,Listas!$B$6:$C$29,2,FALSE)</f>
        <v>Azuay</v>
      </c>
      <c r="O12" s="173">
        <f>+'Total General'!I38</f>
        <v>43.441651067617762</v>
      </c>
      <c r="P12" s="168"/>
      <c r="Q12" s="172"/>
      <c r="R12" s="170">
        <v>4</v>
      </c>
      <c r="S12" s="170" t="str">
        <f>+'Total General'!O38</f>
        <v>Promedio de 24. Santo Domingo de los Tsachilas</v>
      </c>
      <c r="T12" s="170" t="str">
        <f>+VLOOKUP(S12,Listas!$B$6:$C$29,2,FALSE)</f>
        <v>Santo Domingo de los Tsachilas</v>
      </c>
      <c r="U12" s="173">
        <f>+'Total General'!P38</f>
        <v>72.134573202243431</v>
      </c>
      <c r="V12" s="168"/>
      <c r="W12" s="172"/>
      <c r="X12" s="170">
        <v>4</v>
      </c>
      <c r="Y12" s="170" t="str">
        <f>+'Total General'!V38</f>
        <v>Promedio de 1. Azuay - Estandar</v>
      </c>
      <c r="Z12" s="170" t="str">
        <f>+VLOOKUP(Y12,Listas!$B$6:$C$29,2,FALSE)</f>
        <v>Azuay</v>
      </c>
      <c r="AA12" s="173">
        <f>+'Total General'!W38</f>
        <v>45.39235203231614</v>
      </c>
      <c r="AB12" s="168"/>
      <c r="AC12" s="172"/>
      <c r="AD12" s="170">
        <v>4</v>
      </c>
      <c r="AE12" s="170" t="str">
        <f>+'Total General'!AC38</f>
        <v xml:space="preserve">Promedio de 3. Cañar - Estándar </v>
      </c>
      <c r="AF12" s="170" t="str">
        <f>+VLOOKUP(AE12,Listas!$B$6:$C$29,2,FALSE)</f>
        <v>Cañar</v>
      </c>
      <c r="AG12" s="173">
        <f>+'Total General'!AD38</f>
        <v>72.57768417448392</v>
      </c>
      <c r="AH12" s="168"/>
      <c r="AI12" s="172"/>
      <c r="AJ12" s="170">
        <v>4</v>
      </c>
      <c r="AK12" s="170" t="str">
        <f>+'Total General'!AJ38</f>
        <v xml:space="preserve">Promedio de 6. Cotopaxi - Estándar </v>
      </c>
      <c r="AL12" s="170" t="str">
        <f>+VLOOKUP(AK12,Listas!$B$6:$C$29,2,FALSE)</f>
        <v>Cotopaxi</v>
      </c>
      <c r="AM12" s="173">
        <f>+'Total General'!AK38</f>
        <v>27.985914035271627</v>
      </c>
      <c r="AN12" s="168"/>
      <c r="AO12" s="172"/>
      <c r="AP12" s="170">
        <v>4</v>
      </c>
      <c r="AQ12" s="170" t="str">
        <f>+'Total General'!AQ38</f>
        <v xml:space="preserve">Promedio de 9. Galápagos - Estándar </v>
      </c>
      <c r="AR12" s="170" t="str">
        <f>+VLOOKUP(AQ12,Listas!$B$6:$C$29,2,FALSE)</f>
        <v>Galápagos</v>
      </c>
      <c r="AS12" s="173">
        <f>+'Total General'!AR38</f>
        <v>39.478535605991659</v>
      </c>
      <c r="AT12" s="168"/>
      <c r="AU12" s="172"/>
      <c r="AV12" s="170">
        <v>4</v>
      </c>
      <c r="AW12" s="170" t="str">
        <f>+'Total General'!AX38</f>
        <v>Promedio de 1. Azuay - Estandar</v>
      </c>
      <c r="AX12" s="170" t="str">
        <f>+VLOOKUP(AW12,Listas!$B$6:$C$29,2,FALSE)</f>
        <v>Azuay</v>
      </c>
      <c r="AY12" s="173">
        <f>+'Total General'!AY38</f>
        <v>59.374328697385472</v>
      </c>
      <c r="AZ12" s="168"/>
      <c r="BA12" s="172"/>
      <c r="BB12" s="170">
        <v>4</v>
      </c>
      <c r="BC12" s="170" t="str">
        <f>+'Total General'!BE38</f>
        <v xml:space="preserve">Promedio de 11. Imbabura -Estándar </v>
      </c>
      <c r="BD12" s="170" t="str">
        <f>+VLOOKUP(BC12,Listas!$B$6:$C$29,2,FALSE)</f>
        <v>Imbabura</v>
      </c>
      <c r="BE12" s="173">
        <f>+'Total General'!BF38</f>
        <v>61.060482317960719</v>
      </c>
      <c r="BF12" s="168"/>
      <c r="BG12" s="172"/>
      <c r="BH12" s="170">
        <v>4</v>
      </c>
      <c r="BI12" s="170" t="str">
        <f>+'Total General'!BL38</f>
        <v xml:space="preserve">Promedio de 15. Morona Santiago - Estáncar </v>
      </c>
      <c r="BJ12" s="170" t="str">
        <f>+VLOOKUP(BI12,Listas!$B$6:$C$29,2,FALSE)</f>
        <v>Morona Santiago</v>
      </c>
      <c r="BK12" s="173">
        <f>+'Total General'!BM38</f>
        <v>54.198383458697762</v>
      </c>
      <c r="BL12" s="168"/>
      <c r="BM12" s="172"/>
      <c r="BN12" s="170">
        <v>4</v>
      </c>
      <c r="BO12" s="170" t="str">
        <f>+'Total General'!BS38</f>
        <v xml:space="preserve">Promedio de 14. Manabí - Estáncar </v>
      </c>
      <c r="BP12" s="170" t="str">
        <f>+VLOOKUP(BO12,Listas!$B$6:$C$29,2,FALSE)</f>
        <v>Manabí</v>
      </c>
      <c r="BQ12" s="173">
        <f>+'Total General'!BT38</f>
        <v>49.314301937270919</v>
      </c>
      <c r="BR12" s="168"/>
      <c r="BS12" s="172"/>
      <c r="BT12" s="170">
        <v>4</v>
      </c>
      <c r="BU12" s="170" t="str">
        <f>+'Total General'!BZ38</f>
        <v xml:space="preserve">Promedio de 15. Morona Santiago - Estáncar </v>
      </c>
      <c r="BV12" s="170" t="str">
        <f>+VLOOKUP(BU12,Listas!$B$6:$C$29,2,FALSE)</f>
        <v>Morona Santiago</v>
      </c>
      <c r="BW12" s="173">
        <f>+'Total General'!CA38</f>
        <v>50.546380078405107</v>
      </c>
      <c r="BX12" s="168"/>
      <c r="BY12" s="172"/>
      <c r="BZ12" s="170">
        <v>4</v>
      </c>
      <c r="CA12" s="170" t="str">
        <f>+'Total General'!CG38</f>
        <v xml:space="preserve">Promedio de 12. Loja - Estándar </v>
      </c>
      <c r="CB12" s="170" t="str">
        <f>+VLOOKUP(CA12,Listas!$B$6:$C$29,2,FALSE)</f>
        <v>Loja</v>
      </c>
      <c r="CC12" s="173">
        <f>+'Total General'!CH38</f>
        <v>66.425814998907455</v>
      </c>
      <c r="CD12" s="154"/>
    </row>
    <row r="13" spans="1:82">
      <c r="A13" s="154">
        <v>5</v>
      </c>
      <c r="B13" s="158" t="s">
        <v>223</v>
      </c>
      <c r="C13" s="159">
        <v>0.1</v>
      </c>
      <c r="D13" s="163"/>
      <c r="E13" s="118"/>
      <c r="F13" s="4">
        <v>5</v>
      </c>
      <c r="G13" s="4" t="str">
        <f>+'Total General'!A39</f>
        <v xml:space="preserve">Promedio de 21. Tungurahua - Estáncar </v>
      </c>
      <c r="H13" s="4" t="str">
        <f>+VLOOKUP(G13,Listas!$B$6:$C$29,2,FALSE)</f>
        <v>Tungurahua</v>
      </c>
      <c r="I13" s="20">
        <f>+'Total General'!B39</f>
        <v>44.329655743341036</v>
      </c>
      <c r="J13" s="169"/>
      <c r="K13" s="172"/>
      <c r="L13" s="170">
        <v>5</v>
      </c>
      <c r="M13" s="170" t="str">
        <f>+'Total General'!H39</f>
        <v xml:space="preserve">Promedio de 10. Guayas - Estándar </v>
      </c>
      <c r="N13" s="170" t="str">
        <f>+VLOOKUP(M13,Listas!$B$6:$C$29,2,FALSE)</f>
        <v>Guayas</v>
      </c>
      <c r="O13" s="173">
        <f>+'Total General'!I39</f>
        <v>42.019014291409171</v>
      </c>
      <c r="P13" s="168"/>
      <c r="Q13" s="172"/>
      <c r="R13" s="170">
        <v>5</v>
      </c>
      <c r="S13" s="170" t="str">
        <f>+'Total General'!O39</f>
        <v xml:space="preserve">Promedio de 15. Morona Santiago - Estáncar </v>
      </c>
      <c r="T13" s="170" t="str">
        <f>+VLOOKUP(S13,Listas!$B$6:$C$29,2,FALSE)</f>
        <v>Morona Santiago</v>
      </c>
      <c r="U13" s="173">
        <f>+'Total General'!P39</f>
        <v>68.7910406701927</v>
      </c>
      <c r="V13" s="168"/>
      <c r="W13" s="172"/>
      <c r="X13" s="170">
        <v>5</v>
      </c>
      <c r="Y13" s="170" t="str">
        <f>+'Total General'!V39</f>
        <v xml:space="preserve">Promedio de 21. Tungurahua - Estáncar </v>
      </c>
      <c r="Z13" s="170" t="str">
        <f>+VLOOKUP(Y13,Listas!$B$6:$C$29,2,FALSE)</f>
        <v>Tungurahua</v>
      </c>
      <c r="AA13" s="173">
        <f>+'Total General'!W39</f>
        <v>41.679039738057519</v>
      </c>
      <c r="AB13" s="168"/>
      <c r="AC13" s="172"/>
      <c r="AD13" s="170">
        <v>5</v>
      </c>
      <c r="AE13" s="170" t="str">
        <f>+'Total General'!AC39</f>
        <v xml:space="preserve">Promedio de 7. El Oro - Estándar </v>
      </c>
      <c r="AF13" s="170" t="str">
        <f>+VLOOKUP(AE13,Listas!$B$6:$C$29,2,FALSE)</f>
        <v>El Oro</v>
      </c>
      <c r="AG13" s="173">
        <f>+'Total General'!AD39</f>
        <v>70.893353773522435</v>
      </c>
      <c r="AH13" s="168"/>
      <c r="AI13" s="172"/>
      <c r="AJ13" s="170">
        <v>5</v>
      </c>
      <c r="AK13" s="170" t="str">
        <f>+'Total General'!AJ39</f>
        <v xml:space="preserve">Promedio de 7. El Oro - Estándar </v>
      </c>
      <c r="AL13" s="170" t="str">
        <f>+VLOOKUP(AK13,Listas!$B$6:$C$29,2,FALSE)</f>
        <v>El Oro</v>
      </c>
      <c r="AM13" s="173">
        <f>+'Total General'!AK39</f>
        <v>25.696342709304538</v>
      </c>
      <c r="AN13" s="168"/>
      <c r="AO13" s="172"/>
      <c r="AP13" s="170">
        <v>5</v>
      </c>
      <c r="AQ13" s="170" t="str">
        <f>+'Total General'!AQ39</f>
        <v xml:space="preserve">Promedio de 11. Imbabura -Estándar </v>
      </c>
      <c r="AR13" s="170" t="str">
        <f>+VLOOKUP(AQ13,Listas!$B$6:$C$29,2,FALSE)</f>
        <v>Imbabura</v>
      </c>
      <c r="AS13" s="173">
        <f>+'Total General'!AR39</f>
        <v>36.215753539402016</v>
      </c>
      <c r="AT13" s="168"/>
      <c r="AU13" s="172"/>
      <c r="AV13" s="170">
        <v>5</v>
      </c>
      <c r="AW13" s="170" t="str">
        <f>+'Total General'!AX39</f>
        <v xml:space="preserve">Promedio de 7. El Oro - Estándar </v>
      </c>
      <c r="AX13" s="170" t="str">
        <f>+VLOOKUP(AW13,Listas!$B$6:$C$29,2,FALSE)</f>
        <v>El Oro</v>
      </c>
      <c r="AY13" s="173">
        <f>+'Total General'!AY39</f>
        <v>59.210009520353957</v>
      </c>
      <c r="AZ13" s="168"/>
      <c r="BA13" s="172"/>
      <c r="BB13" s="170">
        <v>5</v>
      </c>
      <c r="BC13" s="170" t="str">
        <f>+'Total General'!BE39</f>
        <v xml:space="preserve">Promedio de 7. El Oro - Estándar </v>
      </c>
      <c r="BD13" s="170" t="str">
        <f>+VLOOKUP(BC13,Listas!$B$6:$C$29,2,FALSE)</f>
        <v>El Oro</v>
      </c>
      <c r="BE13" s="173">
        <f>+'Total General'!BF39</f>
        <v>58.551913583832807</v>
      </c>
      <c r="BF13" s="168"/>
      <c r="BG13" s="172"/>
      <c r="BH13" s="170">
        <v>5</v>
      </c>
      <c r="BI13" s="170" t="str">
        <f>+'Total General'!BL39</f>
        <v xml:space="preserve">Promedio de 11. Imbabura -Estándar </v>
      </c>
      <c r="BJ13" s="170" t="str">
        <f>+VLOOKUP(BI13,Listas!$B$6:$C$29,2,FALSE)</f>
        <v>Imbabura</v>
      </c>
      <c r="BK13" s="173">
        <f>+'Total General'!BM39</f>
        <v>52.930207951140041</v>
      </c>
      <c r="BL13" s="168"/>
      <c r="BM13" s="172"/>
      <c r="BN13" s="170">
        <v>5</v>
      </c>
      <c r="BO13" s="170" t="str">
        <f>+'Total General'!BS39</f>
        <v xml:space="preserve">Promedio de 16. Napo - Estáncar </v>
      </c>
      <c r="BP13" s="170" t="str">
        <f>+VLOOKUP(BO13,Listas!$B$6:$C$29,2,FALSE)</f>
        <v>Napo</v>
      </c>
      <c r="BQ13" s="173">
        <f>+'Total General'!BT39</f>
        <v>48.978773587953803</v>
      </c>
      <c r="BR13" s="168"/>
      <c r="BS13" s="172"/>
      <c r="BT13" s="170">
        <v>5</v>
      </c>
      <c r="BU13" s="170" t="str">
        <f>+'Total General'!BZ39</f>
        <v xml:space="preserve">Promedio de 4. Carchi - Estándar </v>
      </c>
      <c r="BV13" s="170" t="str">
        <f>+VLOOKUP(BU13,Listas!$B$6:$C$29,2,FALSE)</f>
        <v>Carchi</v>
      </c>
      <c r="BW13" s="173">
        <f>+'Total General'!CA39</f>
        <v>48.538502722160324</v>
      </c>
      <c r="BX13" s="168"/>
      <c r="BY13" s="172"/>
      <c r="BZ13" s="170">
        <v>5</v>
      </c>
      <c r="CA13" s="170" t="str">
        <f>+'Total General'!CG39</f>
        <v xml:space="preserve">Promedio de 5. Chimborazo - Estándar </v>
      </c>
      <c r="CB13" s="170" t="str">
        <f>+VLOOKUP(CA13,Listas!$B$6:$C$29,2,FALSE)</f>
        <v>Chimborazo</v>
      </c>
      <c r="CC13" s="173">
        <f>+'Total General'!CH39</f>
        <v>62.342505754102497</v>
      </c>
      <c r="CD13" s="154"/>
    </row>
    <row r="14" spans="1:82">
      <c r="A14" s="154">
        <v>6</v>
      </c>
      <c r="B14" s="158" t="s">
        <v>233</v>
      </c>
      <c r="C14" s="159">
        <v>0.1</v>
      </c>
      <c r="D14" s="163"/>
      <c r="E14" s="118"/>
      <c r="F14" s="4">
        <v>6</v>
      </c>
      <c r="G14" s="4" t="str">
        <f>+'Total General'!A40</f>
        <v xml:space="preserve">Promedio de 7. El Oro - Estándar </v>
      </c>
      <c r="H14" s="4" t="str">
        <f>+VLOOKUP(G14,Listas!$B$6:$C$29,2,FALSE)</f>
        <v>El Oro</v>
      </c>
      <c r="I14" s="20">
        <f>+'Total General'!B40</f>
        <v>43.687953619820881</v>
      </c>
      <c r="J14" s="169"/>
      <c r="K14" s="172"/>
      <c r="L14" s="170">
        <v>6</v>
      </c>
      <c r="M14" s="170" t="str">
        <f>+'Total General'!H40</f>
        <v xml:space="preserve">Promedio de 21. Tungurahua - Estáncar </v>
      </c>
      <c r="N14" s="170" t="str">
        <f>+VLOOKUP(M14,Listas!$B$6:$C$29,2,FALSE)</f>
        <v>Tungurahua</v>
      </c>
      <c r="O14" s="173">
        <f>+'Total General'!I40</f>
        <v>39.368689373214707</v>
      </c>
      <c r="P14" s="168"/>
      <c r="Q14" s="172"/>
      <c r="R14" s="170">
        <v>6</v>
      </c>
      <c r="S14" s="170" t="str">
        <f>+'Total General'!O40</f>
        <v xml:space="preserve">Promedio de 2. Bolívar - Estándar </v>
      </c>
      <c r="T14" s="170" t="str">
        <f>+VLOOKUP(S14,Listas!$B$6:$C$29,2,FALSE)</f>
        <v>Bolívar</v>
      </c>
      <c r="U14" s="173">
        <f>+'Total General'!P40</f>
        <v>67.76218973104065</v>
      </c>
      <c r="V14" s="168"/>
      <c r="W14" s="172"/>
      <c r="X14" s="170">
        <v>6</v>
      </c>
      <c r="Y14" s="170" t="str">
        <f>+'Total General'!V40</f>
        <v xml:space="preserve">Promedio de 7. El Oro - Estándar </v>
      </c>
      <c r="Z14" s="170" t="str">
        <f>+VLOOKUP(Y14,Listas!$B$6:$C$29,2,FALSE)</f>
        <v>El Oro</v>
      </c>
      <c r="AA14" s="173">
        <f>+'Total General'!W40</f>
        <v>32.718826236183872</v>
      </c>
      <c r="AB14" s="168"/>
      <c r="AC14" s="172"/>
      <c r="AD14" s="170">
        <v>6</v>
      </c>
      <c r="AE14" s="170" t="str">
        <f>+'Total General'!AC40</f>
        <v xml:space="preserve">Promedio de 11. Imbabura -Estándar </v>
      </c>
      <c r="AF14" s="170" t="str">
        <f>+VLOOKUP(AE14,Listas!$B$6:$C$29,2,FALSE)</f>
        <v>Imbabura</v>
      </c>
      <c r="AG14" s="173">
        <f>+'Total General'!AD40</f>
        <v>70.035601866878295</v>
      </c>
      <c r="AH14" s="168"/>
      <c r="AI14" s="172"/>
      <c r="AJ14" s="170">
        <v>6</v>
      </c>
      <c r="AK14" s="170" t="str">
        <f>+'Total General'!AJ40</f>
        <v xml:space="preserve">Promedio de 11. Imbabura -Estándar </v>
      </c>
      <c r="AL14" s="170" t="str">
        <f>+VLOOKUP(AK14,Listas!$B$6:$C$29,2,FALSE)</f>
        <v>Imbabura</v>
      </c>
      <c r="AM14" s="173">
        <f>+'Total General'!AK40</f>
        <v>19.227205647001888</v>
      </c>
      <c r="AN14" s="168"/>
      <c r="AO14" s="172"/>
      <c r="AP14" s="170">
        <v>6</v>
      </c>
      <c r="AQ14" s="170" t="str">
        <f>+'Total General'!AQ40</f>
        <v xml:space="preserve">Promedio de 21. Tungurahua - Estáncar </v>
      </c>
      <c r="AR14" s="170" t="str">
        <f>+VLOOKUP(AQ14,Listas!$B$6:$C$29,2,FALSE)</f>
        <v>Tungurahua</v>
      </c>
      <c r="AS14" s="173">
        <f>+'Total General'!AR40</f>
        <v>34.237076763558335</v>
      </c>
      <c r="AT14" s="168"/>
      <c r="AU14" s="172"/>
      <c r="AV14" s="170">
        <v>6</v>
      </c>
      <c r="AW14" s="170" t="str">
        <f>+'Total General'!AX40</f>
        <v xml:space="preserve">Promedio de 21. Tungurahua - Estáncar </v>
      </c>
      <c r="AX14" s="170" t="str">
        <f>+VLOOKUP(AW14,Listas!$B$6:$C$29,2,FALSE)</f>
        <v>Tungurahua</v>
      </c>
      <c r="AY14" s="173">
        <f>+'Total General'!AY40</f>
        <v>59.122432365784626</v>
      </c>
      <c r="AZ14" s="168"/>
      <c r="BA14" s="172"/>
      <c r="BB14" s="170">
        <v>6</v>
      </c>
      <c r="BC14" s="170" t="str">
        <f>+'Total General'!BE40</f>
        <v>Promedio de 1. Azuay - Estandar</v>
      </c>
      <c r="BD14" s="170" t="str">
        <f>+VLOOKUP(BC14,Listas!$B$6:$C$29,2,FALSE)</f>
        <v>Azuay</v>
      </c>
      <c r="BE14" s="173">
        <f>+'Total General'!BF40</f>
        <v>55.434288884426287</v>
      </c>
      <c r="BF14" s="168"/>
      <c r="BG14" s="172"/>
      <c r="BH14" s="170">
        <v>6</v>
      </c>
      <c r="BI14" s="170" t="str">
        <f>+'Total General'!BL40</f>
        <v xml:space="preserve">Promedio de 7. El Oro - Estándar </v>
      </c>
      <c r="BJ14" s="170" t="str">
        <f>+VLOOKUP(BI14,Listas!$B$6:$C$29,2,FALSE)</f>
        <v>El Oro</v>
      </c>
      <c r="BK14" s="173">
        <f>+'Total General'!BM40</f>
        <v>47.679285583442862</v>
      </c>
      <c r="BL14" s="168"/>
      <c r="BM14" s="172"/>
      <c r="BN14" s="170">
        <v>6</v>
      </c>
      <c r="BO14" s="170" t="str">
        <f>+'Total General'!BS40</f>
        <v xml:space="preserve">Promedio de 8. Esmeraldas - Estándar </v>
      </c>
      <c r="BP14" s="170" t="str">
        <f>+VLOOKUP(BO14,Listas!$B$6:$C$29,2,FALSE)</f>
        <v>Esmeraldas</v>
      </c>
      <c r="BQ14" s="173">
        <f>+'Total General'!BT40</f>
        <v>48.715997682336351</v>
      </c>
      <c r="BR14" s="168"/>
      <c r="BS14" s="172"/>
      <c r="BT14" s="170">
        <v>6</v>
      </c>
      <c r="BU14" s="170" t="str">
        <f>+'Total General'!BZ40</f>
        <v xml:space="preserve">Promedio de 11. Imbabura -Estándar </v>
      </c>
      <c r="BV14" s="170" t="str">
        <f>+VLOOKUP(BU14,Listas!$B$6:$C$29,2,FALSE)</f>
        <v>Imbabura</v>
      </c>
      <c r="BW14" s="173">
        <f>+'Total General'!CA40</f>
        <v>45.373492792027356</v>
      </c>
      <c r="BX14" s="168"/>
      <c r="BY14" s="172"/>
      <c r="BZ14" s="170">
        <v>6</v>
      </c>
      <c r="CA14" s="170" t="str">
        <f>+'Total General'!CG40</f>
        <v xml:space="preserve">Promedio de 21. Tungurahua - Estáncar </v>
      </c>
      <c r="CB14" s="170" t="str">
        <f>+VLOOKUP(CA14,Listas!$B$6:$C$29,2,FALSE)</f>
        <v>Tungurahua</v>
      </c>
      <c r="CC14" s="173">
        <f>+'Total General'!CH40</f>
        <v>53.424441801785072</v>
      </c>
      <c r="CD14" s="154"/>
    </row>
    <row r="15" spans="1:82" ht="15" customHeight="1">
      <c r="A15" s="154">
        <v>7</v>
      </c>
      <c r="B15" s="158" t="s">
        <v>269</v>
      </c>
      <c r="C15" s="159">
        <v>0.1</v>
      </c>
      <c r="D15" s="163"/>
      <c r="E15" s="119" t="s">
        <v>328</v>
      </c>
      <c r="F15" s="4">
        <v>7</v>
      </c>
      <c r="G15" s="4" t="str">
        <f>+'Total General'!A41</f>
        <v xml:space="preserve">Promedio de 11. Imbabura -Estándar </v>
      </c>
      <c r="H15" s="4" t="str">
        <f>+VLOOKUP(G15,Listas!$B$6:$C$29,2,FALSE)</f>
        <v>Imbabura</v>
      </c>
      <c r="I15" s="20">
        <f>+'Total General'!B41</f>
        <v>43.470465525633784</v>
      </c>
      <c r="J15" s="169"/>
      <c r="K15" s="174" t="s">
        <v>328</v>
      </c>
      <c r="L15" s="170">
        <v>7</v>
      </c>
      <c r="M15" s="170" t="str">
        <f>+'Total General'!H41</f>
        <v xml:space="preserve">Promedio de 5. Chimborazo - Estándar </v>
      </c>
      <c r="N15" s="170" t="str">
        <f>+VLOOKUP(M15,Listas!$B$6:$C$29,2,FALSE)</f>
        <v>Chimborazo</v>
      </c>
      <c r="O15" s="173">
        <f>+'Total General'!I41</f>
        <v>37.944543791389293</v>
      </c>
      <c r="P15" s="168"/>
      <c r="Q15" s="174" t="s">
        <v>328</v>
      </c>
      <c r="R15" s="170">
        <v>7</v>
      </c>
      <c r="S15" s="170" t="str">
        <f>+'Total General'!O41</f>
        <v xml:space="preserve">Promedio de 6. Cotopaxi - Estándar </v>
      </c>
      <c r="T15" s="170" t="str">
        <f>+VLOOKUP(S15,Listas!$B$6:$C$29,2,FALSE)</f>
        <v>Cotopaxi</v>
      </c>
      <c r="U15" s="173">
        <f>+'Total General'!P41</f>
        <v>66.730110560407539</v>
      </c>
      <c r="V15" s="168"/>
      <c r="W15" s="174" t="s">
        <v>328</v>
      </c>
      <c r="X15" s="170">
        <v>7</v>
      </c>
      <c r="Y15" s="170" t="str">
        <f>+'Total General'!V41</f>
        <v>Promedio de 24. Santo Domingo de los Tsachilas</v>
      </c>
      <c r="Z15" s="170" t="str">
        <f>+VLOOKUP(Y15,Listas!$B$6:$C$29,2,FALSE)</f>
        <v>Santo Domingo de los Tsachilas</v>
      </c>
      <c r="AA15" s="173">
        <f>+'Total General'!W41</f>
        <v>30.757113894813561</v>
      </c>
      <c r="AB15" s="168"/>
      <c r="AC15" s="174" t="s">
        <v>328</v>
      </c>
      <c r="AD15" s="170">
        <v>7</v>
      </c>
      <c r="AE15" s="170" t="str">
        <f>+'Total General'!AC41</f>
        <v xml:space="preserve">Promedio de 21. Tungurahua - Estáncar </v>
      </c>
      <c r="AF15" s="170" t="str">
        <f>+VLOOKUP(AE15,Listas!$B$6:$C$29,2,FALSE)</f>
        <v>Tungurahua</v>
      </c>
      <c r="AG15" s="173">
        <f>+'Total General'!AD41</f>
        <v>69.645563665503232</v>
      </c>
      <c r="AH15" s="168"/>
      <c r="AI15" s="174" t="s">
        <v>328</v>
      </c>
      <c r="AJ15" s="170">
        <v>7</v>
      </c>
      <c r="AK15" s="170" t="str">
        <f>+'Total General'!AJ41</f>
        <v xml:space="preserve">Promedio de 14. Manabí - Estáncar </v>
      </c>
      <c r="AL15" s="170" t="str">
        <f>+VLOOKUP(AK15,Listas!$B$6:$C$29,2,FALSE)</f>
        <v>Manabí</v>
      </c>
      <c r="AM15" s="173">
        <f>+'Total General'!AK41</f>
        <v>17.468238048778058</v>
      </c>
      <c r="AN15" s="168"/>
      <c r="AO15" s="174" t="s">
        <v>328</v>
      </c>
      <c r="AP15" s="170">
        <v>7</v>
      </c>
      <c r="AQ15" s="170" t="str">
        <f>+'Total General'!AQ41</f>
        <v>Promedio de 23. Santa Elena</v>
      </c>
      <c r="AR15" s="170" t="str">
        <f>+VLOOKUP(AQ15,Listas!$B$6:$C$29,2,FALSE)</f>
        <v>Santa Elena</v>
      </c>
      <c r="AS15" s="173">
        <f>+'Total General'!AR41</f>
        <v>32.337785247655731</v>
      </c>
      <c r="AT15" s="168"/>
      <c r="AU15" s="174" t="s">
        <v>328</v>
      </c>
      <c r="AV15" s="170">
        <v>7</v>
      </c>
      <c r="AW15" s="170" t="str">
        <f>+'Total General'!AX41</f>
        <v xml:space="preserve">Promedio de 11. Imbabura -Estándar </v>
      </c>
      <c r="AX15" s="170" t="str">
        <f>+VLOOKUP(AW15,Listas!$B$6:$C$29,2,FALSE)</f>
        <v>Imbabura</v>
      </c>
      <c r="AY15" s="173">
        <f>+'Total General'!AY41</f>
        <v>51.50562543229583</v>
      </c>
      <c r="AZ15" s="168"/>
      <c r="BA15" s="174" t="s">
        <v>328</v>
      </c>
      <c r="BB15" s="170">
        <v>7</v>
      </c>
      <c r="BC15" s="170" t="str">
        <f>+'Total General'!BE41</f>
        <v xml:space="preserve">Promedio de 12. Loja - Estándar </v>
      </c>
      <c r="BD15" s="170" t="str">
        <f>+VLOOKUP(BC15,Listas!$B$6:$C$29,2,FALSE)</f>
        <v>Loja</v>
      </c>
      <c r="BE15" s="173">
        <f>+'Total General'!BF41</f>
        <v>51.917747831003183</v>
      </c>
      <c r="BF15" s="168"/>
      <c r="BG15" s="174" t="s">
        <v>328</v>
      </c>
      <c r="BH15" s="170">
        <v>7</v>
      </c>
      <c r="BI15" s="170" t="str">
        <f>+'Total General'!BL41</f>
        <v xml:space="preserve">Promedio de 22. Zamora Chinchipe - Estándar </v>
      </c>
      <c r="BJ15" s="170" t="str">
        <f>+VLOOKUP(BI15,Listas!$B$6:$C$29,2,FALSE)</f>
        <v>Zamora Chinchipe</v>
      </c>
      <c r="BK15" s="173">
        <f>+'Total General'!BM41</f>
        <v>47.06226039825669</v>
      </c>
      <c r="BL15" s="168"/>
      <c r="BM15" s="174" t="s">
        <v>328</v>
      </c>
      <c r="BN15" s="170">
        <v>7</v>
      </c>
      <c r="BO15" s="170" t="str">
        <f>+'Total General'!BS41</f>
        <v xml:space="preserve">Promedio de 17. Francisco de Orellana - Estándar </v>
      </c>
      <c r="BP15" s="170" t="str">
        <f>+VLOOKUP(BO15,Listas!$B$6:$C$29,2,FALSE)</f>
        <v>Francisco de Orellana</v>
      </c>
      <c r="BQ15" s="173">
        <f>+'Total General'!BT41</f>
        <v>48.524455421574508</v>
      </c>
      <c r="BR15" s="168"/>
      <c r="BS15" s="174" t="s">
        <v>328</v>
      </c>
      <c r="BT15" s="170">
        <v>7</v>
      </c>
      <c r="BU15" s="170" t="str">
        <f>+'Total General'!BZ41</f>
        <v xml:space="preserve">Promedio de 17. Francisco de Orellana - Estándar </v>
      </c>
      <c r="BV15" s="170" t="str">
        <f>+VLOOKUP(BU15,Listas!$B$6:$C$29,2,FALSE)</f>
        <v>Francisco de Orellana</v>
      </c>
      <c r="BW15" s="173">
        <f>+'Total General'!CA41</f>
        <v>43.102225250239115</v>
      </c>
      <c r="BX15" s="168"/>
      <c r="BY15" s="174" t="s">
        <v>328</v>
      </c>
      <c r="BZ15" s="170">
        <v>7</v>
      </c>
      <c r="CA15" s="170" t="str">
        <f>+'Total General'!CG41</f>
        <v>Promedio de 1. Azuay - Estandar</v>
      </c>
      <c r="CB15" s="170" t="str">
        <f>+VLOOKUP(CA15,Listas!$B$6:$C$29,2,FALSE)</f>
        <v>Azuay</v>
      </c>
      <c r="CC15" s="173">
        <f>+'Total General'!CH41</f>
        <v>53.278712508208059</v>
      </c>
      <c r="CD15" s="154"/>
    </row>
    <row r="16" spans="1:82">
      <c r="A16" s="154">
        <v>8</v>
      </c>
      <c r="B16" s="158" t="s">
        <v>118</v>
      </c>
      <c r="C16" s="159">
        <v>0.05</v>
      </c>
      <c r="D16" s="163"/>
      <c r="E16" s="119"/>
      <c r="F16" s="4">
        <v>8</v>
      </c>
      <c r="G16" s="4" t="str">
        <f>+'Total General'!A42</f>
        <v xml:space="preserve">Promedio de 5. Chimborazo - Estándar </v>
      </c>
      <c r="H16" s="4" t="str">
        <f>+VLOOKUP(G16,Listas!$B$6:$C$29,2,FALSE)</f>
        <v>Chimborazo</v>
      </c>
      <c r="I16" s="20">
        <f>+'Total General'!B42</f>
        <v>39.196682697318202</v>
      </c>
      <c r="J16" s="169"/>
      <c r="K16" s="174"/>
      <c r="L16" s="170">
        <v>8</v>
      </c>
      <c r="M16" s="170" t="str">
        <f>+'Total General'!H42</f>
        <v>Promedio de 23. Santa Elena</v>
      </c>
      <c r="N16" s="170" t="str">
        <f>+VLOOKUP(M16,Listas!$B$6:$C$29,2,FALSE)</f>
        <v>Santa Elena</v>
      </c>
      <c r="O16" s="173">
        <f>+'Total General'!I42</f>
        <v>36.218328108745787</v>
      </c>
      <c r="P16" s="168"/>
      <c r="Q16" s="174"/>
      <c r="R16" s="170">
        <v>8</v>
      </c>
      <c r="S16" s="170" t="str">
        <f>+'Total General'!O42</f>
        <v xml:space="preserve">Promedio de 18. Pastaza - Estáncar </v>
      </c>
      <c r="T16" s="170" t="str">
        <f>+VLOOKUP(S16,Listas!$B$6:$C$29,2,FALSE)</f>
        <v>Pastaza</v>
      </c>
      <c r="U16" s="173">
        <f>+'Total General'!P42</f>
        <v>66.291825928653367</v>
      </c>
      <c r="V16" s="168"/>
      <c r="W16" s="174"/>
      <c r="X16" s="170">
        <v>8</v>
      </c>
      <c r="Y16" s="170" t="str">
        <f>+'Total General'!V42</f>
        <v xml:space="preserve">Promedio de 20. Sucumbíos - Estáncar </v>
      </c>
      <c r="Z16" s="170" t="str">
        <f>+VLOOKUP(Y16,Listas!$B$6:$C$29,2,FALSE)</f>
        <v>Sucumbíos</v>
      </c>
      <c r="AA16" s="173">
        <f>+'Total General'!W42</f>
        <v>30.228009447273173</v>
      </c>
      <c r="AB16" s="168"/>
      <c r="AC16" s="174"/>
      <c r="AD16" s="170">
        <v>8</v>
      </c>
      <c r="AE16" s="170" t="str">
        <f>+'Total General'!AC42</f>
        <v>Promedio de 24. Santo Domingo de los Tsachilas</v>
      </c>
      <c r="AF16" s="170" t="str">
        <f>+VLOOKUP(AE16,Listas!$B$6:$C$29,2,FALSE)</f>
        <v>Santo Domingo de los Tsachilas</v>
      </c>
      <c r="AG16" s="173">
        <f>+'Total General'!AD42</f>
        <v>69.152632190589912</v>
      </c>
      <c r="AH16" s="168"/>
      <c r="AI16" s="174"/>
      <c r="AJ16" s="170">
        <v>8</v>
      </c>
      <c r="AK16" s="170" t="str">
        <f>+'Total General'!AJ42</f>
        <v xml:space="preserve">Promedio de 13. Los Ríos - Estándar </v>
      </c>
      <c r="AL16" s="170" t="str">
        <f>+VLOOKUP(AK16,Listas!$B$6:$C$29,2,FALSE)</f>
        <v>Los Ríos</v>
      </c>
      <c r="AM16" s="173">
        <f>+'Total General'!AK42</f>
        <v>13.657342699191002</v>
      </c>
      <c r="AN16" s="168"/>
      <c r="AO16" s="174"/>
      <c r="AP16" s="170">
        <v>8</v>
      </c>
      <c r="AQ16" s="170" t="str">
        <f>+'Total General'!AQ42</f>
        <v xml:space="preserve">Promedio de 7. El Oro - Estándar </v>
      </c>
      <c r="AR16" s="170" t="str">
        <f>+VLOOKUP(AQ16,Listas!$B$6:$C$29,2,FALSE)</f>
        <v>El Oro</v>
      </c>
      <c r="AS16" s="173">
        <f>+'Total General'!AR42</f>
        <v>31.574120599908483</v>
      </c>
      <c r="AT16" s="168"/>
      <c r="AU16" s="174"/>
      <c r="AV16" s="170">
        <v>8</v>
      </c>
      <c r="AW16" s="170" t="str">
        <f>+'Total General'!AX42</f>
        <v xml:space="preserve">Promedio de 13. Los Ríos - Estándar </v>
      </c>
      <c r="AX16" s="170" t="str">
        <f>+VLOOKUP(AW16,Listas!$B$6:$C$29,2,FALSE)</f>
        <v>Los Ríos</v>
      </c>
      <c r="AY16" s="173">
        <f>+'Total General'!AY42</f>
        <v>49.502485111248056</v>
      </c>
      <c r="AZ16" s="168"/>
      <c r="BA16" s="174"/>
      <c r="BB16" s="170">
        <v>8</v>
      </c>
      <c r="BC16" s="170" t="str">
        <f>+'Total General'!BE42</f>
        <v xml:space="preserve">Promedio de 3. Cañar - Estándar </v>
      </c>
      <c r="BD16" s="170" t="str">
        <f>+VLOOKUP(BC16,Listas!$B$6:$C$29,2,FALSE)</f>
        <v>Cañar</v>
      </c>
      <c r="BE16" s="173">
        <f>+'Total General'!BF42</f>
        <v>47.99667793666368</v>
      </c>
      <c r="BF16" s="168"/>
      <c r="BG16" s="174"/>
      <c r="BH16" s="170">
        <v>8</v>
      </c>
      <c r="BI16" s="170" t="str">
        <f>+'Total General'!BL42</f>
        <v>Promedio de 23. Santa Elena</v>
      </c>
      <c r="BJ16" s="170" t="str">
        <f>+VLOOKUP(BI16,Listas!$B$6:$C$29,2,FALSE)</f>
        <v>Santa Elena</v>
      </c>
      <c r="BK16" s="173">
        <f>+'Total General'!BM42</f>
        <v>44.61295658052579</v>
      </c>
      <c r="BL16" s="168"/>
      <c r="BM16" s="174"/>
      <c r="BN16" s="170">
        <v>8</v>
      </c>
      <c r="BO16" s="170" t="str">
        <f>+'Total General'!BS42</f>
        <v xml:space="preserve">Promedio de 22. Zamora Chinchipe - Estándar </v>
      </c>
      <c r="BP16" s="170" t="str">
        <f>+VLOOKUP(BO16,Listas!$B$6:$C$29,2,FALSE)</f>
        <v>Zamora Chinchipe</v>
      </c>
      <c r="BQ16" s="173">
        <f>+'Total General'!BT42</f>
        <v>48.396901501347713</v>
      </c>
      <c r="BR16" s="168"/>
      <c r="BS16" s="174"/>
      <c r="BT16" s="170">
        <v>8</v>
      </c>
      <c r="BU16" s="170" t="str">
        <f>+'Total General'!BZ42</f>
        <v xml:space="preserve">Promedio de 21. Tungurahua - Estáncar </v>
      </c>
      <c r="BV16" s="170" t="str">
        <f>+VLOOKUP(BU16,Listas!$B$6:$C$29,2,FALSE)</f>
        <v>Tungurahua</v>
      </c>
      <c r="BW16" s="173">
        <f>+'Total General'!CA42</f>
        <v>41.828880689378742</v>
      </c>
      <c r="BX16" s="168"/>
      <c r="BY16" s="174"/>
      <c r="BZ16" s="170">
        <v>8</v>
      </c>
      <c r="CA16" s="170" t="str">
        <f>+'Total General'!CG42</f>
        <v xml:space="preserve">Promedio de 18. Pastaza - Estáncar </v>
      </c>
      <c r="CB16" s="170" t="str">
        <f>+VLOOKUP(CA16,Listas!$B$6:$C$29,2,FALSE)</f>
        <v>Pastaza</v>
      </c>
      <c r="CC16" s="173">
        <f>+'Total General'!CH42</f>
        <v>50.442985348992707</v>
      </c>
      <c r="CD16" s="154"/>
    </row>
    <row r="17" spans="1:82">
      <c r="A17" s="154">
        <v>9</v>
      </c>
      <c r="B17" s="158" t="s">
        <v>185</v>
      </c>
      <c r="C17" s="159">
        <v>0.05</v>
      </c>
      <c r="D17" s="163"/>
      <c r="E17" s="119"/>
      <c r="F17" s="4">
        <v>9</v>
      </c>
      <c r="G17" s="4" t="str">
        <f>+'Total General'!A43</f>
        <v>Promedio de 24. Santo Domingo de los Tsachilas</v>
      </c>
      <c r="H17" s="4" t="str">
        <f>+VLOOKUP(G17,Listas!$B$6:$C$29,2,FALSE)</f>
        <v>Santo Domingo de los Tsachilas</v>
      </c>
      <c r="I17" s="20">
        <f>+'Total General'!B43</f>
        <v>37.517905217539962</v>
      </c>
      <c r="J17" s="169"/>
      <c r="K17" s="174"/>
      <c r="L17" s="170">
        <v>9</v>
      </c>
      <c r="M17" s="170" t="str">
        <f>+'Total General'!H43</f>
        <v xml:space="preserve">Promedio de 11. Imbabura -Estándar </v>
      </c>
      <c r="N17" s="170" t="str">
        <f>+VLOOKUP(M17,Listas!$B$6:$C$29,2,FALSE)</f>
        <v>Imbabura</v>
      </c>
      <c r="O17" s="173">
        <f>+'Total General'!I43</f>
        <v>33.874953162107523</v>
      </c>
      <c r="P17" s="168"/>
      <c r="Q17" s="174"/>
      <c r="R17" s="170">
        <v>9</v>
      </c>
      <c r="S17" s="170" t="str">
        <f>+'Total General'!O43</f>
        <v xml:space="preserve">Promedio de 7. El Oro - Estándar </v>
      </c>
      <c r="T17" s="170" t="str">
        <f>+VLOOKUP(S17,Listas!$B$6:$C$29,2,FALSE)</f>
        <v>El Oro</v>
      </c>
      <c r="U17" s="173">
        <f>+'Total General'!P43</f>
        <v>59.466182843310222</v>
      </c>
      <c r="V17" s="168"/>
      <c r="W17" s="174"/>
      <c r="X17" s="170">
        <v>9</v>
      </c>
      <c r="Y17" s="170" t="str">
        <f>+'Total General'!V43</f>
        <v xml:space="preserve">Promedio de 17. Francisco de Orellana - Estándar </v>
      </c>
      <c r="Z17" s="170" t="str">
        <f>+VLOOKUP(Y17,Listas!$B$6:$C$29,2,FALSE)</f>
        <v>Francisco de Orellana</v>
      </c>
      <c r="AA17" s="173">
        <f>+'Total General'!W43</f>
        <v>28.96793209774501</v>
      </c>
      <c r="AB17" s="168"/>
      <c r="AC17" s="174"/>
      <c r="AD17" s="170">
        <v>9</v>
      </c>
      <c r="AE17" s="170" t="str">
        <f>+'Total General'!AC43</f>
        <v xml:space="preserve">Promedio de 4. Carchi - Estándar </v>
      </c>
      <c r="AF17" s="170" t="str">
        <f>+VLOOKUP(AE17,Listas!$B$6:$C$29,2,FALSE)</f>
        <v>Carchi</v>
      </c>
      <c r="AG17" s="173">
        <f>+'Total General'!AD43</f>
        <v>69.115480625006995</v>
      </c>
      <c r="AH17" s="168"/>
      <c r="AI17" s="174"/>
      <c r="AJ17" s="170">
        <v>9</v>
      </c>
      <c r="AK17" s="170" t="str">
        <f>+'Total General'!AJ43</f>
        <v>Promedio de 24. Santo Domingo de los Tsachilas</v>
      </c>
      <c r="AL17" s="170" t="str">
        <f>+VLOOKUP(AK17,Listas!$B$6:$C$29,2,FALSE)</f>
        <v>Santo Domingo de los Tsachilas</v>
      </c>
      <c r="AM17" s="173">
        <f>+'Total General'!AK43</f>
        <v>13.515419114088415</v>
      </c>
      <c r="AN17" s="168"/>
      <c r="AO17" s="174"/>
      <c r="AP17" s="170">
        <v>9</v>
      </c>
      <c r="AQ17" s="170" t="str">
        <f>+'Total General'!AQ43</f>
        <v>Promedio de 24. Santo Domingo de los Tsachilas</v>
      </c>
      <c r="AR17" s="170" t="str">
        <f>+VLOOKUP(AQ17,Listas!$B$6:$C$29,2,FALSE)</f>
        <v>Santo Domingo de los Tsachilas</v>
      </c>
      <c r="AS17" s="173">
        <f>+'Total General'!AR43</f>
        <v>30.468269993574669</v>
      </c>
      <c r="AT17" s="168"/>
      <c r="AU17" s="174"/>
      <c r="AV17" s="170">
        <v>9</v>
      </c>
      <c r="AW17" s="170" t="str">
        <f>+'Total General'!AX43</f>
        <v>Promedio de 24. Santo Domingo de los Tsachilas</v>
      </c>
      <c r="AX17" s="170" t="str">
        <f>+VLOOKUP(AW17,Listas!$B$6:$C$29,2,FALSE)</f>
        <v>Santo Domingo de los Tsachilas</v>
      </c>
      <c r="AY17" s="173">
        <f>+'Total General'!AY43</f>
        <v>47.224922189559273</v>
      </c>
      <c r="AZ17" s="168"/>
      <c r="BA17" s="174"/>
      <c r="BB17" s="170">
        <v>9</v>
      </c>
      <c r="BC17" s="170" t="str">
        <f>+'Total General'!BE43</f>
        <v xml:space="preserve">Promedio de 5. Chimborazo - Estándar </v>
      </c>
      <c r="BD17" s="170" t="str">
        <f>+VLOOKUP(BC17,Listas!$B$6:$C$29,2,FALSE)</f>
        <v>Chimborazo</v>
      </c>
      <c r="BE17" s="173">
        <f>+'Total General'!BF43</f>
        <v>45.838133721114446</v>
      </c>
      <c r="BF17" s="168"/>
      <c r="BG17" s="174"/>
      <c r="BH17" s="170">
        <v>9</v>
      </c>
      <c r="BI17" s="170" t="str">
        <f>+'Total General'!BL43</f>
        <v xml:space="preserve">Promedio de 16. Napo - Estáncar </v>
      </c>
      <c r="BJ17" s="170" t="str">
        <f>+VLOOKUP(BI17,Listas!$B$6:$C$29,2,FALSE)</f>
        <v>Napo</v>
      </c>
      <c r="BK17" s="173">
        <f>+'Total General'!BM43</f>
        <v>42.494807102339834</v>
      </c>
      <c r="BL17" s="168"/>
      <c r="BM17" s="174"/>
      <c r="BN17" s="170">
        <v>9</v>
      </c>
      <c r="BO17" s="170" t="str">
        <f>+'Total General'!BS43</f>
        <v xml:space="preserve">Promedio de 2. Bolívar - Estándar </v>
      </c>
      <c r="BP17" s="170" t="str">
        <f>+VLOOKUP(BO17,Listas!$B$6:$C$29,2,FALSE)</f>
        <v>Bolívar</v>
      </c>
      <c r="BQ17" s="173">
        <f>+'Total General'!BT43</f>
        <v>48.34038082608707</v>
      </c>
      <c r="BR17" s="168"/>
      <c r="BS17" s="174"/>
      <c r="BT17" s="170">
        <v>9</v>
      </c>
      <c r="BU17" s="170" t="str">
        <f>+'Total General'!BZ43</f>
        <v xml:space="preserve">Promedio de 22. Zamora Chinchipe - Estándar </v>
      </c>
      <c r="BV17" s="170" t="str">
        <f>+VLOOKUP(BU17,Listas!$B$6:$C$29,2,FALSE)</f>
        <v>Zamora Chinchipe</v>
      </c>
      <c r="BW17" s="173">
        <f>+'Total General'!CA43</f>
        <v>40.504035007032002</v>
      </c>
      <c r="BX17" s="168"/>
      <c r="BY17" s="174"/>
      <c r="BZ17" s="170">
        <v>9</v>
      </c>
      <c r="CA17" s="170" t="str">
        <f>+'Total General'!CG43</f>
        <v xml:space="preserve">Promedio de 3. Cañar - Estándar </v>
      </c>
      <c r="CB17" s="170" t="str">
        <f>+VLOOKUP(CA17,Listas!$B$6:$C$29,2,FALSE)</f>
        <v>Cañar</v>
      </c>
      <c r="CC17" s="173">
        <f>+'Total General'!CH43</f>
        <v>47.879215920654516</v>
      </c>
      <c r="CD17" s="154"/>
    </row>
    <row r="18" spans="1:82" ht="21" customHeight="1">
      <c r="A18" s="154">
        <v>10</v>
      </c>
      <c r="B18" s="158" t="s">
        <v>344</v>
      </c>
      <c r="C18" s="159">
        <v>0.05</v>
      </c>
      <c r="D18" s="163"/>
      <c r="E18" s="119"/>
      <c r="F18" s="25">
        <v>10</v>
      </c>
      <c r="G18" s="4" t="str">
        <f>+'Total General'!A44</f>
        <v xml:space="preserve">Promedio de 3. Cañar - Estándar </v>
      </c>
      <c r="H18" s="25" t="str">
        <f>+VLOOKUP(G18,Listas!$B$6:$C$29,2,FALSE)</f>
        <v>Cañar</v>
      </c>
      <c r="I18" s="20">
        <f>+'Total General'!B44</f>
        <v>37.035914498494733</v>
      </c>
      <c r="J18" s="169"/>
      <c r="K18" s="174"/>
      <c r="L18" s="170">
        <v>10</v>
      </c>
      <c r="M18" s="170" t="str">
        <f>+'Total General'!H44</f>
        <v xml:space="preserve">Promedio de 7. El Oro - Estándar </v>
      </c>
      <c r="N18" s="170" t="str">
        <f>+VLOOKUP(M18,Listas!$B$6:$C$29,2,FALSE)</f>
        <v>El Oro</v>
      </c>
      <c r="O18" s="173">
        <f>+'Total General'!I44</f>
        <v>33.373468683659411</v>
      </c>
      <c r="P18" s="168"/>
      <c r="Q18" s="174"/>
      <c r="R18" s="170">
        <v>10</v>
      </c>
      <c r="S18" s="170" t="str">
        <f>+'Total General'!O44</f>
        <v xml:space="preserve">Promedio de 17. Francisco de Orellana - Estándar </v>
      </c>
      <c r="T18" s="170" t="str">
        <f>+VLOOKUP(S18,Listas!$B$6:$C$29,2,FALSE)</f>
        <v>Francisco de Orellana</v>
      </c>
      <c r="U18" s="173">
        <f>+'Total General'!P44</f>
        <v>56.90917388057315</v>
      </c>
      <c r="V18" s="168"/>
      <c r="W18" s="174"/>
      <c r="X18" s="170">
        <v>10</v>
      </c>
      <c r="Y18" s="170" t="str">
        <f>+'Total General'!V44</f>
        <v xml:space="preserve">Promedio de 11. Imbabura -Estándar </v>
      </c>
      <c r="Z18" s="170" t="str">
        <f>+VLOOKUP(Y18,Listas!$B$6:$C$29,2,FALSE)</f>
        <v>Imbabura</v>
      </c>
      <c r="AA18" s="173">
        <f>+'Total General'!W44</f>
        <v>25.490606838547297</v>
      </c>
      <c r="AB18" s="168"/>
      <c r="AC18" s="174"/>
      <c r="AD18" s="170">
        <v>10</v>
      </c>
      <c r="AE18" s="170" t="str">
        <f>+'Total General'!AC44</f>
        <v xml:space="preserve">Promedio de 2. Bolívar - Estándar </v>
      </c>
      <c r="AF18" s="170" t="str">
        <f>+VLOOKUP(AE18,Listas!$B$6:$C$29,2,FALSE)</f>
        <v>Bolívar</v>
      </c>
      <c r="AG18" s="173">
        <f>+'Total General'!AD44</f>
        <v>68.520252219071125</v>
      </c>
      <c r="AH18" s="168"/>
      <c r="AI18" s="174"/>
      <c r="AJ18" s="170">
        <v>10</v>
      </c>
      <c r="AK18" s="170" t="str">
        <f>+'Total General'!AJ44</f>
        <v xml:space="preserve">Promedio de 4. Carchi - Estándar </v>
      </c>
      <c r="AL18" s="170" t="str">
        <f>+VLOOKUP(AK18,Listas!$B$6:$C$29,2,FALSE)</f>
        <v>Carchi</v>
      </c>
      <c r="AM18" s="173">
        <f>+'Total General'!AK44</f>
        <v>10.523743121815599</v>
      </c>
      <c r="AN18" s="168"/>
      <c r="AO18" s="174"/>
      <c r="AP18" s="170">
        <v>10</v>
      </c>
      <c r="AQ18" s="170" t="str">
        <f>+'Total General'!AQ44</f>
        <v xml:space="preserve">Promedio de 14. Manabí - Estáncar </v>
      </c>
      <c r="AR18" s="170" t="str">
        <f>+VLOOKUP(AQ18,Listas!$B$6:$C$29,2,FALSE)</f>
        <v>Manabí</v>
      </c>
      <c r="AS18" s="173">
        <f>+'Total General'!AR44</f>
        <v>28.737768046720692</v>
      </c>
      <c r="AT18" s="168"/>
      <c r="AU18" s="174"/>
      <c r="AV18" s="170">
        <v>10</v>
      </c>
      <c r="AW18" s="170" t="str">
        <f>+'Total General'!AX44</f>
        <v xml:space="preserve">Promedio de 14. Manabí - Estáncar </v>
      </c>
      <c r="AX18" s="170" t="str">
        <f>+VLOOKUP(AW18,Listas!$B$6:$C$29,2,FALSE)</f>
        <v>Manabí</v>
      </c>
      <c r="AY18" s="173">
        <f>+'Total General'!AY44</f>
        <v>46.538154825038639</v>
      </c>
      <c r="AZ18" s="168"/>
      <c r="BA18" s="174"/>
      <c r="BB18" s="170">
        <v>10</v>
      </c>
      <c r="BC18" s="170" t="str">
        <f>+'Total General'!BE44</f>
        <v xml:space="preserve">Promedio de 18. Pastaza - Estáncar </v>
      </c>
      <c r="BD18" s="170" t="str">
        <f>+VLOOKUP(BC18,Listas!$B$6:$C$29,2,FALSE)</f>
        <v>Pastaza</v>
      </c>
      <c r="BE18" s="173">
        <f>+'Total General'!BF44</f>
        <v>43.965655057298569</v>
      </c>
      <c r="BF18" s="168"/>
      <c r="BG18" s="174"/>
      <c r="BH18" s="170">
        <v>10</v>
      </c>
      <c r="BI18" s="170" t="str">
        <f>+'Total General'!BL44</f>
        <v xml:space="preserve">Promedio de 3. Cañar - Estándar </v>
      </c>
      <c r="BJ18" s="170" t="str">
        <f>+VLOOKUP(BI18,Listas!$B$6:$C$29,2,FALSE)</f>
        <v>Cañar</v>
      </c>
      <c r="BK18" s="173">
        <f>+'Total General'!BM44</f>
        <v>42.124271033701874</v>
      </c>
      <c r="BL18" s="168"/>
      <c r="BM18" s="174"/>
      <c r="BN18" s="170">
        <v>10</v>
      </c>
      <c r="BO18" s="170" t="str">
        <f>+'Total General'!BS44</f>
        <v xml:space="preserve">Promedio de 13. Los Ríos - Estándar </v>
      </c>
      <c r="BP18" s="170" t="str">
        <f>+VLOOKUP(BO18,Listas!$B$6:$C$29,2,FALSE)</f>
        <v>Los Ríos</v>
      </c>
      <c r="BQ18" s="173">
        <f>+'Total General'!BT44</f>
        <v>47.560975609756106</v>
      </c>
      <c r="BR18" s="168"/>
      <c r="BS18" s="174"/>
      <c r="BT18" s="170">
        <v>10</v>
      </c>
      <c r="BU18" s="170" t="str">
        <f>+'Total General'!BZ44</f>
        <v xml:space="preserve">Promedio de 18. Pastaza - Estáncar </v>
      </c>
      <c r="BV18" s="170" t="str">
        <f>+VLOOKUP(BU18,Listas!$B$6:$C$29,2,FALSE)</f>
        <v>Pastaza</v>
      </c>
      <c r="BW18" s="173">
        <f>+'Total General'!CA44</f>
        <v>39.997969817535733</v>
      </c>
      <c r="BX18" s="168"/>
      <c r="BY18" s="174"/>
      <c r="BZ18" s="170">
        <v>10</v>
      </c>
      <c r="CA18" s="170" t="str">
        <f>+'Total General'!CG44</f>
        <v xml:space="preserve">Promedio de 2. Bolívar - Estándar </v>
      </c>
      <c r="CB18" s="170" t="str">
        <f>+VLOOKUP(CA18,Listas!$B$6:$C$29,2,FALSE)</f>
        <v>Bolívar</v>
      </c>
      <c r="CC18" s="173">
        <f>+'Total General'!CH44</f>
        <v>47.084417795590042</v>
      </c>
      <c r="CD18" s="154"/>
    </row>
    <row r="19" spans="1:82">
      <c r="A19" s="154">
        <v>11</v>
      </c>
      <c r="B19" s="158" t="s">
        <v>254</v>
      </c>
      <c r="C19" s="159">
        <v>0.05</v>
      </c>
      <c r="D19" s="163"/>
      <c r="E19" s="119"/>
      <c r="F19" s="25">
        <v>11</v>
      </c>
      <c r="G19" s="4" t="str">
        <f>+'Total General'!A45</f>
        <v>Promedio de 23. Santa Elena</v>
      </c>
      <c r="H19" s="25" t="str">
        <f>+VLOOKUP(G19,Listas!$B$6:$C$29,2,FALSE)</f>
        <v>Santa Elena</v>
      </c>
      <c r="I19" s="20">
        <f>+'Total General'!B45</f>
        <v>36.91048104487264</v>
      </c>
      <c r="J19" s="169"/>
      <c r="K19" s="174"/>
      <c r="L19" s="170">
        <v>11</v>
      </c>
      <c r="M19" s="170" t="str">
        <f>+'Total General'!H45</f>
        <v xml:space="preserve">Promedio de 13. Los Ríos - Estándar </v>
      </c>
      <c r="N19" s="170" t="str">
        <f>+VLOOKUP(M19,Listas!$B$6:$C$29,2,FALSE)</f>
        <v>Los Ríos</v>
      </c>
      <c r="O19" s="173">
        <f>+'Total General'!I45</f>
        <v>31.952208020044747</v>
      </c>
      <c r="P19" s="168"/>
      <c r="Q19" s="174"/>
      <c r="R19" s="170">
        <v>11</v>
      </c>
      <c r="S19" s="170" t="str">
        <f>+'Total General'!O45</f>
        <v xml:space="preserve">Promedio de 21. Tungurahua - Estáncar </v>
      </c>
      <c r="T19" s="170" t="str">
        <f>+VLOOKUP(S19,Listas!$B$6:$C$29,2,FALSE)</f>
        <v>Tungurahua</v>
      </c>
      <c r="U19" s="173">
        <f>+'Total General'!P45</f>
        <v>53.540284022661254</v>
      </c>
      <c r="V19" s="168"/>
      <c r="W19" s="174"/>
      <c r="X19" s="170">
        <v>11</v>
      </c>
      <c r="Y19" s="170" t="str">
        <f>+'Total General'!V45</f>
        <v xml:space="preserve">Promedio de 14. Manabí - Estáncar </v>
      </c>
      <c r="Z19" s="170" t="str">
        <f>+VLOOKUP(Y19,Listas!$B$6:$C$29,2,FALSE)</f>
        <v>Manabí</v>
      </c>
      <c r="AA19" s="173">
        <f>+'Total General'!W45</f>
        <v>24.86448833978141</v>
      </c>
      <c r="AB19" s="168"/>
      <c r="AC19" s="174"/>
      <c r="AD19" s="170">
        <v>11</v>
      </c>
      <c r="AE19" s="170" t="str">
        <f>+'Total General'!AC45</f>
        <v xml:space="preserve">Promedio de 5. Chimborazo - Estándar </v>
      </c>
      <c r="AF19" s="170" t="str">
        <f>+VLOOKUP(AE19,Listas!$B$6:$C$29,2,FALSE)</f>
        <v>Chimborazo</v>
      </c>
      <c r="AG19" s="173">
        <f>+'Total General'!AD45</f>
        <v>64.50152349703842</v>
      </c>
      <c r="AH19" s="168"/>
      <c r="AI19" s="174"/>
      <c r="AJ19" s="170">
        <v>11</v>
      </c>
      <c r="AK19" s="170" t="str">
        <f>+'Total General'!AJ45</f>
        <v xml:space="preserve">Promedio de 8. Esmeraldas - Estándar </v>
      </c>
      <c r="AL19" s="170" t="str">
        <f>+VLOOKUP(AK19,Listas!$B$6:$C$29,2,FALSE)</f>
        <v>Esmeraldas</v>
      </c>
      <c r="AM19" s="173">
        <f>+'Total General'!AK45</f>
        <v>10.190280142922131</v>
      </c>
      <c r="AN19" s="168"/>
      <c r="AO19" s="174"/>
      <c r="AP19" s="170">
        <v>11</v>
      </c>
      <c r="AQ19" s="170" t="str">
        <f>+'Total General'!AQ45</f>
        <v xml:space="preserve">Promedio de 6. Cotopaxi - Estándar </v>
      </c>
      <c r="AR19" s="170" t="str">
        <f>+VLOOKUP(AQ19,Listas!$B$6:$C$29,2,FALSE)</f>
        <v>Cotopaxi</v>
      </c>
      <c r="AS19" s="173">
        <f>+'Total General'!AR45</f>
        <v>27.086035466728347</v>
      </c>
      <c r="AT19" s="168"/>
      <c r="AU19" s="174"/>
      <c r="AV19" s="170">
        <v>11</v>
      </c>
      <c r="AW19" s="170" t="str">
        <f>+'Total General'!AX45</f>
        <v xml:space="preserve">Promedio de 4. Carchi - Estándar </v>
      </c>
      <c r="AX19" s="170" t="str">
        <f>+VLOOKUP(AW19,Listas!$B$6:$C$29,2,FALSE)</f>
        <v>Carchi</v>
      </c>
      <c r="AY19" s="173">
        <f>+'Total General'!AY45</f>
        <v>44.328406783331502</v>
      </c>
      <c r="AZ19" s="168"/>
      <c r="BA19" s="174"/>
      <c r="BB19" s="170">
        <v>11</v>
      </c>
      <c r="BC19" s="170" t="str">
        <f>+'Total General'!BE45</f>
        <v xml:space="preserve">Promedio de 22. Zamora Chinchipe - Estándar </v>
      </c>
      <c r="BD19" s="170" t="str">
        <f>+VLOOKUP(BC19,Listas!$B$6:$C$29,2,FALSE)</f>
        <v>Zamora Chinchipe</v>
      </c>
      <c r="BE19" s="173">
        <f>+'Total General'!BF45</f>
        <v>43.102987031858511</v>
      </c>
      <c r="BF19" s="168"/>
      <c r="BG19" s="174"/>
      <c r="BH19" s="170">
        <v>11</v>
      </c>
      <c r="BI19" s="170" t="str">
        <f>+'Total General'!BL45</f>
        <v>Promedio de 1. Azuay - Estandar</v>
      </c>
      <c r="BJ19" s="170" t="str">
        <f>+VLOOKUP(BI19,Listas!$B$6:$C$29,2,FALSE)</f>
        <v>Azuay</v>
      </c>
      <c r="BK19" s="173">
        <f>+'Total General'!BM45</f>
        <v>41.712380330867838</v>
      </c>
      <c r="BL19" s="168"/>
      <c r="BM19" s="174"/>
      <c r="BN19" s="170">
        <v>11</v>
      </c>
      <c r="BO19" s="170" t="str">
        <f>+'Total General'!BS45</f>
        <v xml:space="preserve">Promedio de 15. Morona Santiago - Estáncar </v>
      </c>
      <c r="BP19" s="170" t="str">
        <f>+VLOOKUP(BO19,Listas!$B$6:$C$29,2,FALSE)</f>
        <v>Morona Santiago</v>
      </c>
      <c r="BQ19" s="173">
        <f>+'Total General'!BT45</f>
        <v>46.453532386813187</v>
      </c>
      <c r="BR19" s="168"/>
      <c r="BS19" s="174"/>
      <c r="BT19" s="170">
        <v>11</v>
      </c>
      <c r="BU19" s="170" t="str">
        <f>+'Total General'!BZ45</f>
        <v xml:space="preserve">Promedio de 7. El Oro - Estándar </v>
      </c>
      <c r="BV19" s="170" t="str">
        <f>+VLOOKUP(BU19,Listas!$B$6:$C$29,2,FALSE)</f>
        <v>El Oro</v>
      </c>
      <c r="BW19" s="173">
        <f>+'Total General'!CA45</f>
        <v>39.902236181301127</v>
      </c>
      <c r="BX19" s="168"/>
      <c r="BY19" s="174"/>
      <c r="BZ19" s="170">
        <v>11</v>
      </c>
      <c r="CA19" s="170" t="str">
        <f>+'Total General'!CG45</f>
        <v xml:space="preserve">Promedio de 4. Carchi - Estándar </v>
      </c>
      <c r="CB19" s="170" t="str">
        <f>+VLOOKUP(CA19,Listas!$B$6:$C$29,2,FALSE)</f>
        <v>Carchi</v>
      </c>
      <c r="CC19" s="173">
        <f>+'Total General'!CH45</f>
        <v>41.555451267933165</v>
      </c>
      <c r="CD19" s="154"/>
    </row>
    <row r="20" spans="1:82">
      <c r="A20" s="154">
        <v>12</v>
      </c>
      <c r="B20" s="158" t="s">
        <v>260</v>
      </c>
      <c r="C20" s="159">
        <v>0.05</v>
      </c>
      <c r="D20" s="163"/>
      <c r="E20" s="119"/>
      <c r="F20" s="25">
        <v>12</v>
      </c>
      <c r="G20" s="4" t="str">
        <f>+'Total General'!A46</f>
        <v xml:space="preserve">Promedio de 17. Francisco de Orellana - Estándar </v>
      </c>
      <c r="H20" s="25" t="str">
        <f>+VLOOKUP(G20,Listas!$B$6:$C$29,2,FALSE)</f>
        <v>Francisco de Orellana</v>
      </c>
      <c r="I20" s="20">
        <f>+'Total General'!B46</f>
        <v>34.92436491844007</v>
      </c>
      <c r="J20" s="169"/>
      <c r="K20" s="174"/>
      <c r="L20" s="170">
        <v>12</v>
      </c>
      <c r="M20" s="170" t="str">
        <f>+'Total General'!H46</f>
        <v xml:space="preserve">Promedio de 3. Cañar - Estándar </v>
      </c>
      <c r="N20" s="170" t="str">
        <f>+VLOOKUP(M20,Listas!$B$6:$C$29,2,FALSE)</f>
        <v>Cañar</v>
      </c>
      <c r="O20" s="173">
        <f>+'Total General'!I46</f>
        <v>31.60417617878689</v>
      </c>
      <c r="P20" s="168"/>
      <c r="Q20" s="174"/>
      <c r="R20" s="170">
        <v>12</v>
      </c>
      <c r="S20" s="170" t="str">
        <f>+'Total General'!O46</f>
        <v xml:space="preserve">Promedio de 3. Cañar - Estándar </v>
      </c>
      <c r="T20" s="170" t="str">
        <f>+VLOOKUP(S20,Listas!$B$6:$C$29,2,FALSE)</f>
        <v>Cañar</v>
      </c>
      <c r="U20" s="173">
        <f>+'Total General'!P46</f>
        <v>53.061494826993737</v>
      </c>
      <c r="V20" s="168"/>
      <c r="W20" s="174"/>
      <c r="X20" s="170">
        <v>12</v>
      </c>
      <c r="Y20" s="170" t="str">
        <f>+'Total General'!V46</f>
        <v xml:space="preserve">Promedio de 12. Loja - Estándar </v>
      </c>
      <c r="Z20" s="170" t="str">
        <f>+VLOOKUP(Y20,Listas!$B$6:$C$29,2,FALSE)</f>
        <v>Loja</v>
      </c>
      <c r="AA20" s="173">
        <f>+'Total General'!W46</f>
        <v>23.178255664999831</v>
      </c>
      <c r="AB20" s="168"/>
      <c r="AC20" s="174"/>
      <c r="AD20" s="170">
        <v>12</v>
      </c>
      <c r="AE20" s="170" t="str">
        <f>+'Total General'!AC46</f>
        <v xml:space="preserve">Promedio de 14. Manabí - Estáncar </v>
      </c>
      <c r="AF20" s="170" t="str">
        <f>+VLOOKUP(AE20,Listas!$B$6:$C$29,2,FALSE)</f>
        <v>Manabí</v>
      </c>
      <c r="AG20" s="173">
        <f>+'Total General'!AD46</f>
        <v>61.802764809619589</v>
      </c>
      <c r="AH20" s="168"/>
      <c r="AI20" s="174"/>
      <c r="AJ20" s="170">
        <v>12</v>
      </c>
      <c r="AK20" s="170" t="str">
        <f>+'Total General'!AJ46</f>
        <v>Promedio de 1. Azuay - Estandar</v>
      </c>
      <c r="AL20" s="170" t="str">
        <f>+VLOOKUP(AK20,Listas!$B$6:$C$29,2,FALSE)</f>
        <v>Azuay</v>
      </c>
      <c r="AM20" s="173">
        <f>+'Total General'!AK46</f>
        <v>8.8146405922075974</v>
      </c>
      <c r="AN20" s="168"/>
      <c r="AO20" s="174"/>
      <c r="AP20" s="170">
        <v>12</v>
      </c>
      <c r="AQ20" s="170" t="str">
        <f>+'Total General'!AQ46</f>
        <v xml:space="preserve">Promedio de 2. Bolívar - Estándar </v>
      </c>
      <c r="AR20" s="170" t="str">
        <f>+VLOOKUP(AQ20,Listas!$B$6:$C$29,2,FALSE)</f>
        <v>Bolívar</v>
      </c>
      <c r="AS20" s="173">
        <f>+'Total General'!AR46</f>
        <v>22.660080781362709</v>
      </c>
      <c r="AT20" s="168"/>
      <c r="AU20" s="174"/>
      <c r="AV20" s="170">
        <v>12</v>
      </c>
      <c r="AW20" s="170" t="str">
        <f>+'Total General'!AX46</f>
        <v xml:space="preserve">Promedio de 3. Cañar - Estándar </v>
      </c>
      <c r="AX20" s="170" t="str">
        <f>+VLOOKUP(AW20,Listas!$B$6:$C$29,2,FALSE)</f>
        <v>Cañar</v>
      </c>
      <c r="AY20" s="173">
        <f>+'Total General'!AY46</f>
        <v>42.961573900316516</v>
      </c>
      <c r="AZ20" s="168"/>
      <c r="BA20" s="174"/>
      <c r="BB20" s="170">
        <v>12</v>
      </c>
      <c r="BC20" s="170" t="str">
        <f>+'Total General'!BE46</f>
        <v>Promedio de 23. Santa Elena</v>
      </c>
      <c r="BD20" s="170" t="str">
        <f>+VLOOKUP(BC20,Listas!$B$6:$C$29,2,FALSE)</f>
        <v>Santa Elena</v>
      </c>
      <c r="BE20" s="173">
        <f>+'Total General'!BF46</f>
        <v>42.957353435136831</v>
      </c>
      <c r="BF20" s="168"/>
      <c r="BG20" s="174"/>
      <c r="BH20" s="170">
        <v>12</v>
      </c>
      <c r="BI20" s="170" t="str">
        <f>+'Total General'!BL46</f>
        <v xml:space="preserve">Promedio de 5. Chimborazo - Estándar </v>
      </c>
      <c r="BJ20" s="170" t="str">
        <f>+VLOOKUP(BI20,Listas!$B$6:$C$29,2,FALSE)</f>
        <v>Chimborazo</v>
      </c>
      <c r="BK20" s="173">
        <f>+'Total General'!BM46</f>
        <v>39.265736116927734</v>
      </c>
      <c r="BL20" s="168"/>
      <c r="BM20" s="174"/>
      <c r="BN20" s="170">
        <v>12</v>
      </c>
      <c r="BO20" s="170" t="str">
        <f>+'Total General'!BS46</f>
        <v xml:space="preserve">Promedio de 10. Guayas - Estándar </v>
      </c>
      <c r="BP20" s="170" t="str">
        <f>+VLOOKUP(BO20,Listas!$B$6:$C$29,2,FALSE)</f>
        <v>Guayas</v>
      </c>
      <c r="BQ20" s="173">
        <f>+'Total General'!BT46</f>
        <v>45.870857135991358</v>
      </c>
      <c r="BR20" s="168"/>
      <c r="BS20" s="174"/>
      <c r="BT20" s="170">
        <v>12</v>
      </c>
      <c r="BU20" s="170" t="str">
        <f>+'Total General'!BZ46</f>
        <v xml:space="preserve">Promedio de 13. Los Ríos - Estándar </v>
      </c>
      <c r="BV20" s="170" t="str">
        <f>+VLOOKUP(BU20,Listas!$B$6:$C$29,2,FALSE)</f>
        <v>Los Ríos</v>
      </c>
      <c r="BW20" s="173">
        <f>+'Total General'!CA46</f>
        <v>38.538321374367811</v>
      </c>
      <c r="BX20" s="168"/>
      <c r="BY20" s="174"/>
      <c r="BZ20" s="170">
        <v>12</v>
      </c>
      <c r="CA20" s="170" t="str">
        <f>+'Total General'!CG46</f>
        <v xml:space="preserve">Promedio de 22. Zamora Chinchipe - Estándar </v>
      </c>
      <c r="CB20" s="170" t="str">
        <f>+VLOOKUP(CA20,Listas!$B$6:$C$29,2,FALSE)</f>
        <v>Zamora Chinchipe</v>
      </c>
      <c r="CC20" s="173">
        <f>+'Total General'!CH46</f>
        <v>33.433390860097987</v>
      </c>
      <c r="CD20" s="154"/>
    </row>
    <row r="21" spans="1:82">
      <c r="B21" s="160" t="s">
        <v>289</v>
      </c>
      <c r="C21" s="161">
        <f>+SUM(C9:C20)</f>
        <v>1</v>
      </c>
      <c r="D21" s="163"/>
      <c r="E21" s="120" t="s">
        <v>327</v>
      </c>
      <c r="F21" s="25">
        <v>13</v>
      </c>
      <c r="G21" s="4" t="str">
        <f>+'Total General'!A47</f>
        <v xml:space="preserve">Promedio de 6. Cotopaxi - Estándar </v>
      </c>
      <c r="H21" s="25" t="str">
        <f>+VLOOKUP(G21,Listas!$B$6:$C$29,2,FALSE)</f>
        <v>Cotopaxi</v>
      </c>
      <c r="I21" s="20">
        <f>+'Total General'!B47</f>
        <v>33.535411479801716</v>
      </c>
      <c r="J21" s="169"/>
      <c r="K21" s="175" t="s">
        <v>327</v>
      </c>
      <c r="L21" s="170">
        <v>13</v>
      </c>
      <c r="M21" s="170" t="str">
        <f>+'Total General'!H47</f>
        <v xml:space="preserve">Promedio de 20. Sucumbíos - Estáncar </v>
      </c>
      <c r="N21" s="170" t="str">
        <f>+VLOOKUP(M21,Listas!$B$6:$C$29,2,FALSE)</f>
        <v>Sucumbíos</v>
      </c>
      <c r="O21" s="173">
        <f>+'Total General'!I47</f>
        <v>31.336607626209496</v>
      </c>
      <c r="P21" s="168"/>
      <c r="Q21" s="175" t="s">
        <v>327</v>
      </c>
      <c r="R21" s="170">
        <v>13</v>
      </c>
      <c r="S21" s="170" t="str">
        <f>+'Total General'!O47</f>
        <v xml:space="preserve">Promedio de 19. Pichincha - Estándar </v>
      </c>
      <c r="T21" s="170" t="str">
        <f>+VLOOKUP(S21,Listas!$B$6:$C$29,2,FALSE)</f>
        <v>Pichincha</v>
      </c>
      <c r="U21" s="173">
        <f>+'Total General'!P47</f>
        <v>52.116710647134788</v>
      </c>
      <c r="V21" s="168"/>
      <c r="W21" s="175" t="s">
        <v>327</v>
      </c>
      <c r="X21" s="170">
        <v>13</v>
      </c>
      <c r="Y21" s="170" t="str">
        <f>+'Total General'!V47</f>
        <v xml:space="preserve">Promedio de 6. Cotopaxi - Estándar </v>
      </c>
      <c r="Z21" s="170" t="str">
        <f>+VLOOKUP(Y21,Listas!$B$6:$C$29,2,FALSE)</f>
        <v>Cotopaxi</v>
      </c>
      <c r="AA21" s="173">
        <f>+'Total General'!W47</f>
        <v>23.130795732182285</v>
      </c>
      <c r="AB21" s="168"/>
      <c r="AC21" s="175" t="s">
        <v>327</v>
      </c>
      <c r="AD21" s="170">
        <v>13</v>
      </c>
      <c r="AE21" s="170" t="str">
        <f>+'Total General'!AC47</f>
        <v xml:space="preserve">Promedio de 12. Loja - Estándar </v>
      </c>
      <c r="AF21" s="170" t="str">
        <f>+VLOOKUP(AE21,Listas!$B$6:$C$29,2,FALSE)</f>
        <v>Loja</v>
      </c>
      <c r="AG21" s="173">
        <f>+'Total General'!AD47</f>
        <v>60.977044891808504</v>
      </c>
      <c r="AH21" s="168"/>
      <c r="AI21" s="175" t="s">
        <v>327</v>
      </c>
      <c r="AJ21" s="170">
        <v>13</v>
      </c>
      <c r="AK21" s="170" t="str">
        <f>+'Total General'!AJ47</f>
        <v>Promedio de 23. Santa Elena</v>
      </c>
      <c r="AL21" s="170" t="str">
        <f>+VLOOKUP(AK21,Listas!$B$6:$C$29,2,FALSE)</f>
        <v>Santa Elena</v>
      </c>
      <c r="AM21" s="173">
        <f>+'Total General'!AK47</f>
        <v>8.8144343799153848</v>
      </c>
      <c r="AN21" s="168"/>
      <c r="AO21" s="175" t="s">
        <v>327</v>
      </c>
      <c r="AP21" s="170">
        <v>13</v>
      </c>
      <c r="AQ21" s="170" t="str">
        <f>+'Total General'!AQ47</f>
        <v xml:space="preserve">Promedio de 13. Los Ríos - Estándar </v>
      </c>
      <c r="AR21" s="170" t="str">
        <f>+VLOOKUP(AQ21,Listas!$B$6:$C$29,2,FALSE)</f>
        <v>Los Ríos</v>
      </c>
      <c r="AS21" s="173">
        <f>+'Total General'!AR47</f>
        <v>22.647380652831458</v>
      </c>
      <c r="AT21" s="168"/>
      <c r="AU21" s="175" t="s">
        <v>327</v>
      </c>
      <c r="AV21" s="170">
        <v>13</v>
      </c>
      <c r="AW21" s="170" t="str">
        <f>+'Total General'!AX47</f>
        <v>Promedio de 23. Santa Elena</v>
      </c>
      <c r="AX21" s="170" t="str">
        <f>+VLOOKUP(AW21,Listas!$B$6:$C$29,2,FALSE)</f>
        <v>Santa Elena</v>
      </c>
      <c r="AY21" s="173">
        <f>+'Total General'!AY47</f>
        <v>41.385632463826795</v>
      </c>
      <c r="AZ21" s="168"/>
      <c r="BA21" s="175" t="s">
        <v>327</v>
      </c>
      <c r="BB21" s="170">
        <v>13</v>
      </c>
      <c r="BC21" s="170" t="str">
        <f>+'Total General'!BE47</f>
        <v xml:space="preserve">Promedio de 13. Los Ríos - Estándar </v>
      </c>
      <c r="BD21" s="170" t="str">
        <f>+VLOOKUP(BC21,Listas!$B$6:$C$29,2,FALSE)</f>
        <v>Los Ríos</v>
      </c>
      <c r="BE21" s="173">
        <f>+'Total General'!BF47</f>
        <v>40.471535582048411</v>
      </c>
      <c r="BF21" s="168"/>
      <c r="BG21" s="175" t="s">
        <v>327</v>
      </c>
      <c r="BH21" s="170">
        <v>13</v>
      </c>
      <c r="BI21" s="170" t="str">
        <f>+'Total General'!BL47</f>
        <v xml:space="preserve">Promedio de 18. Pastaza - Estáncar </v>
      </c>
      <c r="BJ21" s="170" t="str">
        <f>+VLOOKUP(BI21,Listas!$B$6:$C$29,2,FALSE)</f>
        <v>Pastaza</v>
      </c>
      <c r="BK21" s="173">
        <f>+'Total General'!BM47</f>
        <v>38.246963807877812</v>
      </c>
      <c r="BL21" s="168"/>
      <c r="BM21" s="175" t="s">
        <v>327</v>
      </c>
      <c r="BN21" s="170">
        <v>13</v>
      </c>
      <c r="BO21" s="170" t="str">
        <f>+'Total General'!BS47</f>
        <v xml:space="preserve">Promedio de 20. Sucumbíos - Estáncar </v>
      </c>
      <c r="BP21" s="170" t="str">
        <f>+VLOOKUP(BO21,Listas!$B$6:$C$29,2,FALSE)</f>
        <v>Sucumbíos</v>
      </c>
      <c r="BQ21" s="173">
        <f>+'Total General'!BT47</f>
        <v>44.846090712618221</v>
      </c>
      <c r="BR21" s="168"/>
      <c r="BS21" s="175" t="s">
        <v>327</v>
      </c>
      <c r="BT21" s="170">
        <v>13</v>
      </c>
      <c r="BU21" s="170" t="str">
        <f>+'Total General'!BZ47</f>
        <v xml:space="preserve">Promedio de 5. Chimborazo - Estándar </v>
      </c>
      <c r="BV21" s="170" t="str">
        <f>+VLOOKUP(BU21,Listas!$B$6:$C$29,2,FALSE)</f>
        <v>Chimborazo</v>
      </c>
      <c r="BW21" s="173">
        <f>+'Total General'!CA47</f>
        <v>37.052583144122679</v>
      </c>
      <c r="BX21" s="168"/>
      <c r="BY21" s="175" t="s">
        <v>327</v>
      </c>
      <c r="BZ21" s="170">
        <v>13</v>
      </c>
      <c r="CA21" s="170" t="str">
        <f>+'Total General'!CG47</f>
        <v xml:space="preserve">Promedio de 6. Cotopaxi - Estándar </v>
      </c>
      <c r="CB21" s="170" t="str">
        <f>+VLOOKUP(CA21,Listas!$B$6:$C$29,2,FALSE)</f>
        <v>Cotopaxi</v>
      </c>
      <c r="CC21" s="173">
        <f>+'Total General'!CH47</f>
        <v>32.806599334436498</v>
      </c>
      <c r="CD21" s="154"/>
    </row>
    <row r="22" spans="1:82">
      <c r="D22" s="163"/>
      <c r="E22" s="120"/>
      <c r="F22" s="25">
        <v>14</v>
      </c>
      <c r="G22" s="4" t="str">
        <f>+'Total General'!A48</f>
        <v xml:space="preserve">Promedio de 13. Los Ríos - Estándar </v>
      </c>
      <c r="H22" s="25" t="str">
        <f>+VLOOKUP(G22,Listas!$B$6:$C$29,2,FALSE)</f>
        <v>Los Ríos</v>
      </c>
      <c r="I22" s="20">
        <f>+'Total General'!B48</f>
        <v>33.245641445502997</v>
      </c>
      <c r="J22" s="169"/>
      <c r="K22" s="175"/>
      <c r="L22" s="170">
        <v>14</v>
      </c>
      <c r="M22" s="170" t="str">
        <f>+'Total General'!H48</f>
        <v>Promedio de 24. Santo Domingo de los Tsachilas</v>
      </c>
      <c r="N22" s="170" t="str">
        <f>+VLOOKUP(M22,Listas!$B$6:$C$29,2,FALSE)</f>
        <v>Santo Domingo de los Tsachilas</v>
      </c>
      <c r="O22" s="173">
        <f>+'Total General'!I48</f>
        <v>22.919239862557557</v>
      </c>
      <c r="P22" s="168"/>
      <c r="Q22" s="175"/>
      <c r="R22" s="170">
        <v>14</v>
      </c>
      <c r="S22" s="170" t="str">
        <f>+'Total General'!O48</f>
        <v xml:space="preserve">Promedio de 22. Zamora Chinchipe - Estándar </v>
      </c>
      <c r="T22" s="170" t="str">
        <f>+VLOOKUP(S22,Listas!$B$6:$C$29,2,FALSE)</f>
        <v>Zamora Chinchipe</v>
      </c>
      <c r="U22" s="173">
        <f>+'Total General'!P48</f>
        <v>51.225804293993818</v>
      </c>
      <c r="V22" s="168"/>
      <c r="W22" s="175"/>
      <c r="X22" s="170">
        <v>14</v>
      </c>
      <c r="Y22" s="170" t="str">
        <f>+'Total General'!V48</f>
        <v xml:space="preserve">Promedio de 8. Esmeraldas - Estándar </v>
      </c>
      <c r="Z22" s="170" t="str">
        <f>+VLOOKUP(Y22,Listas!$B$6:$C$29,2,FALSE)</f>
        <v>Esmeraldas</v>
      </c>
      <c r="AA22" s="173">
        <f>+'Total General'!W48</f>
        <v>22.94850132267791</v>
      </c>
      <c r="AB22" s="168"/>
      <c r="AC22" s="175"/>
      <c r="AD22" s="170">
        <v>14</v>
      </c>
      <c r="AE22" s="170" t="str">
        <f>+'Total General'!AC48</f>
        <v>Promedio de 23. Santa Elena</v>
      </c>
      <c r="AF22" s="170" t="str">
        <f>+VLOOKUP(AE22,Listas!$B$6:$C$29,2,FALSE)</f>
        <v>Santa Elena</v>
      </c>
      <c r="AG22" s="173">
        <f>+'Total General'!AD48</f>
        <v>60.752919907547295</v>
      </c>
      <c r="AH22" s="168"/>
      <c r="AI22" s="175"/>
      <c r="AJ22" s="170">
        <v>14</v>
      </c>
      <c r="AK22" s="170" t="str">
        <f>+'Total General'!AJ48</f>
        <v xml:space="preserve">Promedio de 21. Tungurahua - Estáncar </v>
      </c>
      <c r="AL22" s="170" t="str">
        <f>+VLOOKUP(AK22,Listas!$B$6:$C$29,2,FALSE)</f>
        <v>Tungurahua</v>
      </c>
      <c r="AM22" s="173">
        <f>+'Total General'!AK48</f>
        <v>7.4656093449264995</v>
      </c>
      <c r="AN22" s="168"/>
      <c r="AO22" s="175"/>
      <c r="AP22" s="170">
        <v>14</v>
      </c>
      <c r="AQ22" s="170" t="str">
        <f>+'Total General'!AQ48</f>
        <v xml:space="preserve">Promedio de 5. Chimborazo - Estándar </v>
      </c>
      <c r="AR22" s="170" t="str">
        <f>+VLOOKUP(AQ22,Listas!$B$6:$C$29,2,FALSE)</f>
        <v>Chimborazo</v>
      </c>
      <c r="AS22" s="173">
        <f>+'Total General'!AR48</f>
        <v>21.753220918093671</v>
      </c>
      <c r="AT22" s="168"/>
      <c r="AU22" s="175"/>
      <c r="AV22" s="170">
        <v>14</v>
      </c>
      <c r="AW22" s="170" t="str">
        <f>+'Total General'!AX48</f>
        <v xml:space="preserve">Promedio de 8. Esmeraldas - Estándar </v>
      </c>
      <c r="AX22" s="170" t="str">
        <f>+VLOOKUP(AW22,Listas!$B$6:$C$29,2,FALSE)</f>
        <v>Esmeraldas</v>
      </c>
      <c r="AY22" s="173">
        <f>+'Total General'!AY48</f>
        <v>38.985044325261768</v>
      </c>
      <c r="AZ22" s="168"/>
      <c r="BA22" s="175"/>
      <c r="BB22" s="170">
        <v>14</v>
      </c>
      <c r="BC22" s="170" t="str">
        <f>+'Total General'!BE48</f>
        <v xml:space="preserve">Promedio de 17. Francisco de Orellana - Estándar </v>
      </c>
      <c r="BD22" s="170" t="str">
        <f>+VLOOKUP(BC22,Listas!$B$6:$C$29,2,FALSE)</f>
        <v>Francisco de Orellana</v>
      </c>
      <c r="BE22" s="173">
        <f>+'Total General'!BF48</f>
        <v>40.223611462571299</v>
      </c>
      <c r="BF22" s="168"/>
      <c r="BG22" s="175"/>
      <c r="BH22" s="170">
        <v>14</v>
      </c>
      <c r="BI22" s="170" t="str">
        <f>+'Total General'!BL48</f>
        <v xml:space="preserve">Promedio de 21. Tungurahua - Estáncar </v>
      </c>
      <c r="BJ22" s="170" t="str">
        <f>+VLOOKUP(BI22,Listas!$B$6:$C$29,2,FALSE)</f>
        <v>Tungurahua</v>
      </c>
      <c r="BK22" s="173">
        <f>+'Total General'!BM48</f>
        <v>37.184862952778509</v>
      </c>
      <c r="BL22" s="168"/>
      <c r="BM22" s="175"/>
      <c r="BN22" s="170">
        <v>14</v>
      </c>
      <c r="BO22" s="170" t="str">
        <f>+'Total General'!BS48</f>
        <v xml:space="preserve">Promedio de 21. Tungurahua - Estáncar </v>
      </c>
      <c r="BP22" s="170" t="str">
        <f>+VLOOKUP(BO22,Listas!$B$6:$C$29,2,FALSE)</f>
        <v>Tungurahua</v>
      </c>
      <c r="BQ22" s="173">
        <f>+'Total General'!BT48</f>
        <v>43.541227854711167</v>
      </c>
      <c r="BR22" s="168"/>
      <c r="BS22" s="175"/>
      <c r="BT22" s="170">
        <v>14</v>
      </c>
      <c r="BU22" s="170" t="str">
        <f>+'Total General'!BZ48</f>
        <v xml:space="preserve">Promedio de 19. Pichincha - Estándar </v>
      </c>
      <c r="BV22" s="170" t="str">
        <f>+VLOOKUP(BU22,Listas!$B$6:$C$29,2,FALSE)</f>
        <v>Pichincha</v>
      </c>
      <c r="BW22" s="173">
        <f>+'Total General'!CA48</f>
        <v>34.958992205532411</v>
      </c>
      <c r="BX22" s="168"/>
      <c r="BY22" s="175"/>
      <c r="BZ22" s="170">
        <v>14</v>
      </c>
      <c r="CA22" s="170" t="str">
        <f>+'Total General'!CG48</f>
        <v xml:space="preserve">Promedio de 10. Guayas - Estándar </v>
      </c>
      <c r="CB22" s="170" t="str">
        <f>+VLOOKUP(CA22,Listas!$B$6:$C$29,2,FALSE)</f>
        <v>Guayas</v>
      </c>
      <c r="CC22" s="173">
        <f>+'Total General'!CH48</f>
        <v>32.450079127539574</v>
      </c>
      <c r="CD22" s="154"/>
    </row>
    <row r="23" spans="1:82">
      <c r="D23" s="163"/>
      <c r="E23" s="120"/>
      <c r="F23" s="25">
        <v>15</v>
      </c>
      <c r="G23" s="4" t="str">
        <f>+'Total General'!A49</f>
        <v xml:space="preserve">Promedio de 14. Manabí - Estáncar </v>
      </c>
      <c r="H23" s="25" t="str">
        <f>+VLOOKUP(G23,Listas!$B$6:$C$29,2,FALSE)</f>
        <v>Manabí</v>
      </c>
      <c r="I23" s="20">
        <f>+'Total General'!B49</f>
        <v>32.970579145267791</v>
      </c>
      <c r="J23" s="169"/>
      <c r="K23" s="175"/>
      <c r="L23" s="170">
        <v>15</v>
      </c>
      <c r="M23" s="170" t="str">
        <f>+'Total General'!H49</f>
        <v xml:space="preserve">Promedio de 18. Pastaza - Estáncar </v>
      </c>
      <c r="N23" s="170" t="str">
        <f>+VLOOKUP(M23,Listas!$B$6:$C$29,2,FALSE)</f>
        <v>Pastaza</v>
      </c>
      <c r="O23" s="173">
        <f>+'Total General'!I49</f>
        <v>22.036400969299923</v>
      </c>
      <c r="P23" s="168"/>
      <c r="Q23" s="175"/>
      <c r="R23" s="170">
        <v>15</v>
      </c>
      <c r="S23" s="170" t="str">
        <f>+'Total General'!O49</f>
        <v xml:space="preserve">Promedio de 14. Manabí - Estáncar </v>
      </c>
      <c r="T23" s="170" t="str">
        <f>+VLOOKUP(S23,Listas!$B$6:$C$29,2,FALSE)</f>
        <v>Manabí</v>
      </c>
      <c r="U23" s="173">
        <f>+'Total General'!P49</f>
        <v>50.544617501190992</v>
      </c>
      <c r="V23" s="168"/>
      <c r="W23" s="175"/>
      <c r="X23" s="170">
        <v>15</v>
      </c>
      <c r="Y23" s="170" t="str">
        <f>+'Total General'!V49</f>
        <v>Promedio de 23. Santa Elena</v>
      </c>
      <c r="Z23" s="170" t="str">
        <f>+VLOOKUP(Y23,Listas!$B$6:$C$29,2,FALSE)</f>
        <v>Santa Elena</v>
      </c>
      <c r="AA23" s="173">
        <f>+'Total General'!W49</f>
        <v>22.878012383459886</v>
      </c>
      <c r="AB23" s="168"/>
      <c r="AC23" s="175"/>
      <c r="AD23" s="170">
        <v>15</v>
      </c>
      <c r="AE23" s="170" t="str">
        <f>+'Total General'!AC49</f>
        <v xml:space="preserve">Promedio de 13. Los Ríos - Estándar </v>
      </c>
      <c r="AF23" s="170" t="str">
        <f>+VLOOKUP(AE23,Listas!$B$6:$C$29,2,FALSE)</f>
        <v>Los Ríos</v>
      </c>
      <c r="AG23" s="173">
        <f>+'Total General'!AD49</f>
        <v>57.036263076967685</v>
      </c>
      <c r="AH23" s="168"/>
      <c r="AI23" s="175"/>
      <c r="AJ23" s="170">
        <v>15</v>
      </c>
      <c r="AK23" s="170" t="str">
        <f>+'Total General'!AJ49</f>
        <v xml:space="preserve">Promedio de 16. Napo - Estáncar </v>
      </c>
      <c r="AL23" s="170" t="str">
        <f>+VLOOKUP(AK23,Listas!$B$6:$C$29,2,FALSE)</f>
        <v>Napo</v>
      </c>
      <c r="AM23" s="173">
        <f>+'Total General'!AK49</f>
        <v>3.8301203656502691</v>
      </c>
      <c r="AN23" s="168"/>
      <c r="AO23" s="175"/>
      <c r="AP23" s="170">
        <v>15</v>
      </c>
      <c r="AQ23" s="170" t="str">
        <f>+'Total General'!AQ49</f>
        <v xml:space="preserve">Promedio de 3. Cañar - Estándar </v>
      </c>
      <c r="AR23" s="170" t="str">
        <f>+VLOOKUP(AQ23,Listas!$B$6:$C$29,2,FALSE)</f>
        <v>Cañar</v>
      </c>
      <c r="AS23" s="173">
        <f>+'Total General'!AR49</f>
        <v>21.211828446529225</v>
      </c>
      <c r="AT23" s="168"/>
      <c r="AU23" s="175"/>
      <c r="AV23" s="170">
        <v>15</v>
      </c>
      <c r="AW23" s="170" t="str">
        <f>+'Total General'!AX49</f>
        <v xml:space="preserve">Promedio de 16. Napo - Estáncar </v>
      </c>
      <c r="AX23" s="170" t="str">
        <f>+VLOOKUP(AW23,Listas!$B$6:$C$29,2,FALSE)</f>
        <v>Napo</v>
      </c>
      <c r="AY23" s="173">
        <f>+'Total General'!AY49</f>
        <v>38.461139620731529</v>
      </c>
      <c r="AZ23" s="168"/>
      <c r="BA23" s="175"/>
      <c r="BB23" s="170">
        <v>15</v>
      </c>
      <c r="BC23" s="170" t="str">
        <f>+'Total General'!BE49</f>
        <v xml:space="preserve">Promedio de 14. Manabí - Estáncar </v>
      </c>
      <c r="BD23" s="170" t="str">
        <f>+VLOOKUP(BC23,Listas!$B$6:$C$29,2,FALSE)</f>
        <v>Manabí</v>
      </c>
      <c r="BE23" s="173">
        <f>+'Total General'!BF49</f>
        <v>37.120239027259231</v>
      </c>
      <c r="BF23" s="168"/>
      <c r="BG23" s="175"/>
      <c r="BH23" s="170">
        <v>15</v>
      </c>
      <c r="BI23" s="170" t="str">
        <f>+'Total General'!BL49</f>
        <v xml:space="preserve">Promedio de 10. Guayas - Estándar </v>
      </c>
      <c r="BJ23" s="170" t="str">
        <f>+VLOOKUP(BI23,Listas!$B$6:$C$29,2,FALSE)</f>
        <v>Guayas</v>
      </c>
      <c r="BK23" s="173">
        <f>+'Total General'!BM49</f>
        <v>32.590112305645057</v>
      </c>
      <c r="BL23" s="168"/>
      <c r="BM23" s="175"/>
      <c r="BN23" s="170">
        <v>15</v>
      </c>
      <c r="BO23" s="170" t="str">
        <f>+'Total General'!BS49</f>
        <v xml:space="preserve">Promedio de 19. Pichincha - Estándar </v>
      </c>
      <c r="BP23" s="170" t="str">
        <f>+VLOOKUP(BO23,Listas!$B$6:$C$29,2,FALSE)</f>
        <v>Pichincha</v>
      </c>
      <c r="BQ23" s="173">
        <f>+'Total General'!BT49</f>
        <v>42.959669561547855</v>
      </c>
      <c r="BR23" s="168"/>
      <c r="BS23" s="175"/>
      <c r="BT23" s="170">
        <v>15</v>
      </c>
      <c r="BU23" s="170" t="str">
        <f>+'Total General'!BZ49</f>
        <v xml:space="preserve">Promedio de 16. Napo - Estáncar </v>
      </c>
      <c r="BV23" s="170" t="str">
        <f>+VLOOKUP(BU23,Listas!$B$6:$C$29,2,FALSE)</f>
        <v>Napo</v>
      </c>
      <c r="BW23" s="173">
        <f>+'Total General'!CA49</f>
        <v>28.925593958837499</v>
      </c>
      <c r="BX23" s="168"/>
      <c r="BY23" s="175"/>
      <c r="BZ23" s="170">
        <v>15</v>
      </c>
      <c r="CA23" s="170" t="str">
        <f>+'Total General'!CG49</f>
        <v xml:space="preserve">Promedio de 7. El Oro - Estándar </v>
      </c>
      <c r="CB23" s="170" t="str">
        <f>+VLOOKUP(CA23,Listas!$B$6:$C$29,2,FALSE)</f>
        <v>El Oro</v>
      </c>
      <c r="CC23" s="173">
        <f>+'Total General'!CH49</f>
        <v>28.402203560057021</v>
      </c>
      <c r="CD23" s="154"/>
    </row>
    <row r="24" spans="1:82">
      <c r="D24" s="163"/>
      <c r="E24" s="120"/>
      <c r="F24" s="25">
        <v>16</v>
      </c>
      <c r="G24" s="4" t="str">
        <f>+'Total General'!A50</f>
        <v xml:space="preserve">Promedio de 4. Carchi - Estándar </v>
      </c>
      <c r="H24" s="25" t="str">
        <f>+VLOOKUP(G24,Listas!$B$6:$C$29,2,FALSE)</f>
        <v>Carchi</v>
      </c>
      <c r="I24" s="20">
        <f>+'Total General'!B50</f>
        <v>32.836503438944057</v>
      </c>
      <c r="J24" s="169"/>
      <c r="K24" s="175"/>
      <c r="L24" s="170">
        <v>16</v>
      </c>
      <c r="M24" s="170" t="str">
        <f>+'Total General'!H50</f>
        <v xml:space="preserve">Promedio de 15. Morona Santiago - Estáncar </v>
      </c>
      <c r="N24" s="170" t="str">
        <f>+VLOOKUP(M24,Listas!$B$6:$C$29,2,FALSE)</f>
        <v>Morona Santiago</v>
      </c>
      <c r="O24" s="173">
        <f>+'Total General'!I50</f>
        <v>21.137930110404461</v>
      </c>
      <c r="P24" s="168"/>
      <c r="Q24" s="175"/>
      <c r="R24" s="170">
        <v>16</v>
      </c>
      <c r="S24" s="170" t="str">
        <f>+'Total General'!O50</f>
        <v xml:space="preserve">Promedio de 4. Carchi - Estándar </v>
      </c>
      <c r="T24" s="170" t="str">
        <f>+VLOOKUP(S24,Listas!$B$6:$C$29,2,FALSE)</f>
        <v>Carchi</v>
      </c>
      <c r="U24" s="173">
        <f>+'Total General'!P50</f>
        <v>48.039440287868018</v>
      </c>
      <c r="V24" s="168"/>
      <c r="W24" s="175"/>
      <c r="X24" s="170">
        <v>16</v>
      </c>
      <c r="Y24" s="170" t="str">
        <f>+'Total General'!V50</f>
        <v xml:space="preserve">Promedio de 5. Chimborazo - Estándar </v>
      </c>
      <c r="Z24" s="170" t="str">
        <f>+VLOOKUP(Y24,Listas!$B$6:$C$29,2,FALSE)</f>
        <v>Chimborazo</v>
      </c>
      <c r="AA24" s="173">
        <f>+'Total General'!W50</f>
        <v>21.358314866380166</v>
      </c>
      <c r="AB24" s="168"/>
      <c r="AC24" s="175"/>
      <c r="AD24" s="170">
        <v>16</v>
      </c>
      <c r="AE24" s="170" t="str">
        <f>+'Total General'!AC50</f>
        <v xml:space="preserve">Promedio de 6. Cotopaxi - Estándar </v>
      </c>
      <c r="AF24" s="170" t="str">
        <f>+VLOOKUP(AE24,Listas!$B$6:$C$29,2,FALSE)</f>
        <v>Cotopaxi</v>
      </c>
      <c r="AG24" s="173">
        <f>+'Total General'!AD50</f>
        <v>53.418521852718634</v>
      </c>
      <c r="AH24" s="168"/>
      <c r="AI24" s="175"/>
      <c r="AJ24" s="170">
        <v>16</v>
      </c>
      <c r="AK24" s="170" t="str">
        <f>+'Total General'!AJ50</f>
        <v xml:space="preserve">Promedio de 3. Cañar - Estándar </v>
      </c>
      <c r="AL24" s="170" t="str">
        <f>+VLOOKUP(AK24,Listas!$B$6:$C$29,2,FALSE)</f>
        <v>Cañar</v>
      </c>
      <c r="AM24" s="173">
        <f>+'Total General'!AK50</f>
        <v>3.1141087396037648</v>
      </c>
      <c r="AN24" s="168"/>
      <c r="AO24" s="175"/>
      <c r="AP24" s="170">
        <v>16</v>
      </c>
      <c r="AQ24" s="170" t="str">
        <f>+'Total General'!AQ50</f>
        <v xml:space="preserve">Promedio de 18. Pastaza - Estáncar </v>
      </c>
      <c r="AR24" s="170" t="str">
        <f>+VLOOKUP(AQ24,Listas!$B$6:$C$29,2,FALSE)</f>
        <v>Pastaza</v>
      </c>
      <c r="AS24" s="173">
        <f>+'Total General'!AR50</f>
        <v>21.144117119493924</v>
      </c>
      <c r="AT24" s="168"/>
      <c r="AU24" s="175"/>
      <c r="AV24" s="170">
        <v>16</v>
      </c>
      <c r="AW24" s="170" t="str">
        <f>+'Total General'!AX50</f>
        <v xml:space="preserve">Promedio de 6. Cotopaxi - Estándar </v>
      </c>
      <c r="AX24" s="170" t="str">
        <f>+VLOOKUP(AW24,Listas!$B$6:$C$29,2,FALSE)</f>
        <v>Cotopaxi</v>
      </c>
      <c r="AY24" s="173">
        <f>+'Total General'!AY50</f>
        <v>38.218470724354745</v>
      </c>
      <c r="AZ24" s="168"/>
      <c r="BA24" s="175"/>
      <c r="BB24" s="170">
        <v>16</v>
      </c>
      <c r="BC24" s="170" t="str">
        <f>+'Total General'!BE50</f>
        <v xml:space="preserve">Promedio de 15. Morona Santiago - Estáncar </v>
      </c>
      <c r="BD24" s="170" t="str">
        <f>+VLOOKUP(BC24,Listas!$B$6:$C$29,2,FALSE)</f>
        <v>Morona Santiago</v>
      </c>
      <c r="BE24" s="173">
        <f>+'Total General'!BF50</f>
        <v>36.471901139980915</v>
      </c>
      <c r="BF24" s="168"/>
      <c r="BG24" s="175"/>
      <c r="BH24" s="170">
        <v>16</v>
      </c>
      <c r="BI24" s="170" t="str">
        <f>+'Total General'!BL50</f>
        <v xml:space="preserve">Promedio de 20. Sucumbíos - Estáncar </v>
      </c>
      <c r="BJ24" s="170" t="str">
        <f>+VLOOKUP(BI24,Listas!$B$6:$C$29,2,FALSE)</f>
        <v>Sucumbíos</v>
      </c>
      <c r="BK24" s="173">
        <f>+'Total General'!BM50</f>
        <v>31.662392199583806</v>
      </c>
      <c r="BL24" s="168"/>
      <c r="BM24" s="175"/>
      <c r="BN24" s="170">
        <v>16</v>
      </c>
      <c r="BO24" s="170" t="str">
        <f>+'Total General'!BS50</f>
        <v>Promedio de 23. Santa Elena</v>
      </c>
      <c r="BP24" s="170" t="str">
        <f>+VLOOKUP(BO24,Listas!$B$6:$C$29,2,FALSE)</f>
        <v>Santa Elena</v>
      </c>
      <c r="BQ24" s="173">
        <f>+'Total General'!BT50</f>
        <v>42.653623895217486</v>
      </c>
      <c r="BR24" s="168"/>
      <c r="BS24" s="175"/>
      <c r="BT24" s="170">
        <v>16</v>
      </c>
      <c r="BU24" s="170" t="str">
        <f>+'Total General'!BZ50</f>
        <v xml:space="preserve">Promedio de 2. Bolívar - Estándar </v>
      </c>
      <c r="BV24" s="170" t="str">
        <f>+VLOOKUP(BU24,Listas!$B$6:$C$29,2,FALSE)</f>
        <v>Bolívar</v>
      </c>
      <c r="BW24" s="173">
        <f>+'Total General'!CA50</f>
        <v>28.042750124673237</v>
      </c>
      <c r="BX24" s="168"/>
      <c r="BY24" s="175"/>
      <c r="BZ24" s="170">
        <v>16</v>
      </c>
      <c r="CA24" s="170" t="str">
        <f>+'Total General'!CG50</f>
        <v>Promedio de 24. Santo Domingo de los Tsachilas</v>
      </c>
      <c r="CB24" s="170" t="str">
        <f>+VLOOKUP(CA24,Listas!$B$6:$C$29,2,FALSE)</f>
        <v>Santo Domingo de los Tsachilas</v>
      </c>
      <c r="CC24" s="173">
        <f>+'Total General'!CH50</f>
        <v>28.096174138035718</v>
      </c>
      <c r="CD24" s="154"/>
    </row>
    <row r="25" spans="1:82">
      <c r="D25" s="163"/>
      <c r="E25" s="120"/>
      <c r="F25" s="4">
        <v>17</v>
      </c>
      <c r="G25" s="4" t="str">
        <f>+'Total General'!A51</f>
        <v xml:space="preserve">Promedio de 18. Pastaza - Estáncar </v>
      </c>
      <c r="H25" s="4" t="str">
        <f>+VLOOKUP(G25,Listas!$B$6:$C$29,2,FALSE)</f>
        <v>Pastaza</v>
      </c>
      <c r="I25" s="20">
        <f>+'Total General'!B51</f>
        <v>32.283747587922981</v>
      </c>
      <c r="J25" s="169"/>
      <c r="K25" s="175"/>
      <c r="L25" s="170">
        <v>17</v>
      </c>
      <c r="M25" s="170" t="str">
        <f>+'Total General'!H51</f>
        <v xml:space="preserve">Promedio de 6. Cotopaxi - Estándar </v>
      </c>
      <c r="N25" s="170" t="str">
        <f>+VLOOKUP(M25,Listas!$B$6:$C$29,2,FALSE)</f>
        <v>Cotopaxi</v>
      </c>
      <c r="O25" s="173">
        <f>+'Total General'!I51</f>
        <v>20.678046491906287</v>
      </c>
      <c r="P25" s="168"/>
      <c r="Q25" s="175"/>
      <c r="R25" s="170">
        <v>17</v>
      </c>
      <c r="S25" s="170" t="str">
        <f>+'Total General'!O51</f>
        <v xml:space="preserve">Promedio de 11. Imbabura -Estándar </v>
      </c>
      <c r="T25" s="170" t="str">
        <f>+VLOOKUP(S25,Listas!$B$6:$C$29,2,FALSE)</f>
        <v>Imbabura</v>
      </c>
      <c r="U25" s="173">
        <f>+'Total General'!P51</f>
        <v>47.057393937763777</v>
      </c>
      <c r="V25" s="168"/>
      <c r="W25" s="175"/>
      <c r="X25" s="170">
        <v>17</v>
      </c>
      <c r="Y25" s="170" t="str">
        <f>+'Total General'!V51</f>
        <v xml:space="preserve">Promedio de 13. Los Ríos - Estándar </v>
      </c>
      <c r="Z25" s="170" t="str">
        <f>+VLOOKUP(Y25,Listas!$B$6:$C$29,2,FALSE)</f>
        <v>Los Ríos</v>
      </c>
      <c r="AA25" s="173">
        <f>+'Total General'!W51</f>
        <v>20.953204116658611</v>
      </c>
      <c r="AB25" s="168"/>
      <c r="AC25" s="175"/>
      <c r="AD25" s="170">
        <v>17</v>
      </c>
      <c r="AE25" s="170" t="str">
        <f>+'Total General'!AC51</f>
        <v xml:space="preserve">Promedio de 8. Esmeraldas - Estándar </v>
      </c>
      <c r="AF25" s="170" t="str">
        <f>+VLOOKUP(AE25,Listas!$B$6:$C$29,2,FALSE)</f>
        <v>Esmeraldas</v>
      </c>
      <c r="AG25" s="173">
        <f>+'Total General'!AD51</f>
        <v>52.402139878535955</v>
      </c>
      <c r="AH25" s="168"/>
      <c r="AI25" s="175"/>
      <c r="AJ25" s="170">
        <v>17</v>
      </c>
      <c r="AK25" s="170" t="str">
        <f>+'Total General'!AJ51</f>
        <v xml:space="preserve">Promedio de 2. Bolívar - Estándar </v>
      </c>
      <c r="AL25" s="170" t="str">
        <f>+VLOOKUP(AK25,Listas!$B$6:$C$29,2,FALSE)</f>
        <v>Bolívar</v>
      </c>
      <c r="AM25" s="173">
        <f>+'Total General'!AK51</f>
        <v>2.8835177536475167</v>
      </c>
      <c r="AN25" s="168"/>
      <c r="AO25" s="175"/>
      <c r="AP25" s="170">
        <v>17</v>
      </c>
      <c r="AQ25" s="170" t="str">
        <f>+'Total General'!AQ51</f>
        <v xml:space="preserve">Promedio de 4. Carchi - Estándar </v>
      </c>
      <c r="AR25" s="170" t="str">
        <f>+VLOOKUP(AQ25,Listas!$B$6:$C$29,2,FALSE)</f>
        <v>Carchi</v>
      </c>
      <c r="AS25" s="173">
        <f>+'Total General'!AR51</f>
        <v>20.209009355427533</v>
      </c>
      <c r="AT25" s="168"/>
      <c r="AU25" s="175"/>
      <c r="AV25" s="170">
        <v>17</v>
      </c>
      <c r="AW25" s="170" t="str">
        <f>+'Total General'!AX51</f>
        <v xml:space="preserve">Promedio de 12. Loja - Estándar </v>
      </c>
      <c r="AX25" s="170" t="str">
        <f>+VLOOKUP(AW25,Listas!$B$6:$C$29,2,FALSE)</f>
        <v>Loja</v>
      </c>
      <c r="AY25" s="173">
        <f>+'Total General'!AY51</f>
        <v>36.835522653354914</v>
      </c>
      <c r="AZ25" s="168"/>
      <c r="BA25" s="175"/>
      <c r="BB25" s="170">
        <v>17</v>
      </c>
      <c r="BC25" s="170" t="str">
        <f>+'Total General'!BE51</f>
        <v xml:space="preserve">Promedio de 8. Esmeraldas - Estándar </v>
      </c>
      <c r="BD25" s="170" t="str">
        <f>+VLOOKUP(BC25,Listas!$B$6:$C$29,2,FALSE)</f>
        <v>Esmeraldas</v>
      </c>
      <c r="BE25" s="173">
        <f>+'Total General'!BF51</f>
        <v>35.449770046105137</v>
      </c>
      <c r="BF25" s="168"/>
      <c r="BG25" s="175"/>
      <c r="BH25" s="170">
        <v>17</v>
      </c>
      <c r="BI25" s="170" t="str">
        <f>+'Total General'!BL51</f>
        <v xml:space="preserve">Promedio de 4. Carchi - Estándar </v>
      </c>
      <c r="BJ25" s="170" t="str">
        <f>+VLOOKUP(BI25,Listas!$B$6:$C$29,2,FALSE)</f>
        <v>Carchi</v>
      </c>
      <c r="BK25" s="173">
        <f>+'Total General'!BM51</f>
        <v>30.969163589978894</v>
      </c>
      <c r="BL25" s="168"/>
      <c r="BM25" s="175"/>
      <c r="BN25" s="170">
        <v>17</v>
      </c>
      <c r="BO25" s="170" t="str">
        <f>+'Total General'!BS51</f>
        <v xml:space="preserve">Promedio de 11. Imbabura -Estándar </v>
      </c>
      <c r="BP25" s="170" t="str">
        <f>+VLOOKUP(BO25,Listas!$B$6:$C$29,2,FALSE)</f>
        <v>Imbabura</v>
      </c>
      <c r="BQ25" s="173">
        <f>+'Total General'!BT51</f>
        <v>42.457665346413563</v>
      </c>
      <c r="BR25" s="168"/>
      <c r="BS25" s="175"/>
      <c r="BT25" s="170">
        <v>17</v>
      </c>
      <c r="BU25" s="170" t="str">
        <f>+'Total General'!BZ51</f>
        <v>Promedio de 1. Azuay - Estandar</v>
      </c>
      <c r="BV25" s="170" t="str">
        <f>+VLOOKUP(BU25,Listas!$B$6:$C$29,2,FALSE)</f>
        <v>Azuay</v>
      </c>
      <c r="BW25" s="173">
        <f>+'Total General'!CA51</f>
        <v>24.187850384777683</v>
      </c>
      <c r="BX25" s="168"/>
      <c r="BY25" s="175"/>
      <c r="BZ25" s="170">
        <v>17</v>
      </c>
      <c r="CA25" s="170" t="str">
        <f>+'Total General'!CG51</f>
        <v xml:space="preserve">Promedio de 16. Napo - Estáncar </v>
      </c>
      <c r="CB25" s="170" t="str">
        <f>+VLOOKUP(CA25,Listas!$B$6:$C$29,2,FALSE)</f>
        <v>Napo</v>
      </c>
      <c r="CC25" s="173">
        <f>+'Total General'!CH51</f>
        <v>27.560086466229233</v>
      </c>
      <c r="CD25" s="154"/>
    </row>
    <row r="26" spans="1:82">
      <c r="D26" s="163"/>
      <c r="E26" s="120"/>
      <c r="F26" s="4">
        <v>18</v>
      </c>
      <c r="G26" s="4" t="str">
        <f>+'Total General'!A52</f>
        <v xml:space="preserve">Promedio de 12. Loja - Estándar </v>
      </c>
      <c r="H26" s="4" t="str">
        <f>+VLOOKUP(G26,Listas!$B$6:$C$29,2,FALSE)</f>
        <v>Loja</v>
      </c>
      <c r="I26" s="20">
        <f>+'Total General'!B52</f>
        <v>31.277639438007913</v>
      </c>
      <c r="J26" s="169"/>
      <c r="K26" s="175"/>
      <c r="L26" s="170">
        <v>18</v>
      </c>
      <c r="M26" s="170" t="str">
        <f>+'Total General'!H52</f>
        <v xml:space="preserve">Promedio de 12. Loja - Estándar </v>
      </c>
      <c r="N26" s="170" t="str">
        <f>+VLOOKUP(M26,Listas!$B$6:$C$29,2,FALSE)</f>
        <v>Loja</v>
      </c>
      <c r="O26" s="173">
        <f>+'Total General'!I52</f>
        <v>20.138577731280769</v>
      </c>
      <c r="P26" s="168"/>
      <c r="Q26" s="175"/>
      <c r="R26" s="170">
        <v>18</v>
      </c>
      <c r="S26" s="170" t="str">
        <f>+'Total General'!O52</f>
        <v>Promedio de 23. Santa Elena</v>
      </c>
      <c r="T26" s="170" t="str">
        <f>+VLOOKUP(S26,Listas!$B$6:$C$29,2,FALSE)</f>
        <v>Santa Elena</v>
      </c>
      <c r="U26" s="173">
        <f>+'Total General'!P52</f>
        <v>46.530658609027512</v>
      </c>
      <c r="V26" s="168"/>
      <c r="W26" s="175"/>
      <c r="X26" s="170">
        <v>18</v>
      </c>
      <c r="Y26" s="170" t="str">
        <f>+'Total General'!V52</f>
        <v xml:space="preserve">Promedio de 4. Carchi - Estándar </v>
      </c>
      <c r="Z26" s="170" t="str">
        <f>+VLOOKUP(Y26,Listas!$B$6:$C$29,2,FALSE)</f>
        <v>Carchi</v>
      </c>
      <c r="AA26" s="173">
        <f>+'Total General'!W52</f>
        <v>16.508315152899154</v>
      </c>
      <c r="AB26" s="168"/>
      <c r="AC26" s="175"/>
      <c r="AD26" s="170">
        <v>18</v>
      </c>
      <c r="AE26" s="170" t="str">
        <f>+'Total General'!AC52</f>
        <v xml:space="preserve">Promedio de 18. Pastaza - Estáncar </v>
      </c>
      <c r="AF26" s="170" t="str">
        <f>+VLOOKUP(AE26,Listas!$B$6:$C$29,2,FALSE)</f>
        <v>Pastaza</v>
      </c>
      <c r="AG26" s="173">
        <f>+'Total General'!AD52</f>
        <v>45.182755115161413</v>
      </c>
      <c r="AH26" s="168"/>
      <c r="AI26" s="175"/>
      <c r="AJ26" s="170">
        <v>18</v>
      </c>
      <c r="AK26" s="170" t="str">
        <f>+'Total General'!AJ52</f>
        <v xml:space="preserve">Promedio de 5. Chimborazo - Estándar </v>
      </c>
      <c r="AL26" s="170" t="str">
        <f>+VLOOKUP(AK26,Listas!$B$6:$C$29,2,FALSE)</f>
        <v>Chimborazo</v>
      </c>
      <c r="AM26" s="173">
        <f>+'Total General'!AK52</f>
        <v>2.5351655229673349</v>
      </c>
      <c r="AN26" s="168"/>
      <c r="AO26" s="175"/>
      <c r="AP26" s="170">
        <v>18</v>
      </c>
      <c r="AQ26" s="170" t="str">
        <f>+'Total General'!AQ52</f>
        <v xml:space="preserve">Promedio de 17. Francisco de Orellana - Estándar </v>
      </c>
      <c r="AR26" s="170" t="str">
        <f>+VLOOKUP(AQ26,Listas!$B$6:$C$29,2,FALSE)</f>
        <v>Francisco de Orellana</v>
      </c>
      <c r="AS26" s="173">
        <f>+'Total General'!AR52</f>
        <v>20.116634877435551</v>
      </c>
      <c r="AT26" s="168"/>
      <c r="AU26" s="175"/>
      <c r="AV26" s="170">
        <v>18</v>
      </c>
      <c r="AW26" s="170" t="str">
        <f>+'Total General'!AX52</f>
        <v xml:space="preserve">Promedio de 5. Chimborazo - Estándar </v>
      </c>
      <c r="AX26" s="170" t="str">
        <f>+VLOOKUP(AW26,Listas!$B$6:$C$29,2,FALSE)</f>
        <v>Chimborazo</v>
      </c>
      <c r="AY26" s="173">
        <f>+'Total General'!AY52</f>
        <v>34.425971277742477</v>
      </c>
      <c r="AZ26" s="168"/>
      <c r="BA26" s="175"/>
      <c r="BB26" s="170">
        <v>18</v>
      </c>
      <c r="BC26" s="170" t="str">
        <f>+'Total General'!BE52</f>
        <v xml:space="preserve">Promedio de 2. Bolívar - Estándar </v>
      </c>
      <c r="BD26" s="170" t="str">
        <f>+VLOOKUP(BC26,Listas!$B$6:$C$29,2,FALSE)</f>
        <v>Bolívar</v>
      </c>
      <c r="BE26" s="173">
        <f>+'Total General'!BF52</f>
        <v>34.38189172447467</v>
      </c>
      <c r="BF26" s="168"/>
      <c r="BG26" s="175"/>
      <c r="BH26" s="170">
        <v>18</v>
      </c>
      <c r="BI26" s="170" t="str">
        <f>+'Total General'!BL52</f>
        <v>Promedio de 24. Santo Domingo de los Tsachilas</v>
      </c>
      <c r="BJ26" s="170" t="str">
        <f>+VLOOKUP(BI26,Listas!$B$6:$C$29,2,FALSE)</f>
        <v>Santo Domingo de los Tsachilas</v>
      </c>
      <c r="BK26" s="173">
        <f>+'Total General'!BM52</f>
        <v>29.454344105000935</v>
      </c>
      <c r="BL26" s="168"/>
      <c r="BM26" s="175"/>
      <c r="BN26" s="170">
        <v>18</v>
      </c>
      <c r="BO26" s="170" t="str">
        <f>+'Total General'!BS52</f>
        <v xml:space="preserve">Promedio de 4. Carchi - Estándar </v>
      </c>
      <c r="BP26" s="170" t="str">
        <f>+VLOOKUP(BO26,Listas!$B$6:$C$29,2,FALSE)</f>
        <v>Carchi</v>
      </c>
      <c r="BQ26" s="173">
        <f>+'Total General'!BT52</f>
        <v>41.02729930869571</v>
      </c>
      <c r="BR26" s="168"/>
      <c r="BS26" s="175"/>
      <c r="BT26" s="170">
        <v>18</v>
      </c>
      <c r="BU26" s="170" t="str">
        <f>+'Total General'!BZ52</f>
        <v xml:space="preserve">Promedio de 20. Sucumbíos - Estáncar </v>
      </c>
      <c r="BV26" s="170" t="str">
        <f>+VLOOKUP(BU26,Listas!$B$6:$C$29,2,FALSE)</f>
        <v>Sucumbíos</v>
      </c>
      <c r="BW26" s="173">
        <f>+'Total General'!CA52</f>
        <v>21.482916757676225</v>
      </c>
      <c r="BX26" s="168"/>
      <c r="BY26" s="175"/>
      <c r="BZ26" s="170">
        <v>18</v>
      </c>
      <c r="CA26" s="170" t="str">
        <f>+'Total General'!CG52</f>
        <v xml:space="preserve">Promedio de 14. Manabí - Estáncar </v>
      </c>
      <c r="CB26" s="170" t="str">
        <f>+VLOOKUP(CA26,Listas!$B$6:$C$29,2,FALSE)</f>
        <v>Manabí</v>
      </c>
      <c r="CC26" s="173">
        <f>+'Total General'!CH52</f>
        <v>24.856829692083213</v>
      </c>
      <c r="CD26" s="154"/>
    </row>
    <row r="27" spans="1:82" ht="15" customHeight="1">
      <c r="D27" s="163"/>
      <c r="E27" s="121" t="s">
        <v>326</v>
      </c>
      <c r="F27" s="4">
        <v>19</v>
      </c>
      <c r="G27" s="4" t="str">
        <f>+'Total General'!A53</f>
        <v xml:space="preserve">Promedio de 2. Bolívar - Estándar </v>
      </c>
      <c r="H27" s="4" t="str">
        <f>+VLOOKUP(G27,Listas!$B$6:$C$29,2,FALSE)</f>
        <v>Bolívar</v>
      </c>
      <c r="I27" s="20">
        <f>+'Total General'!B53</f>
        <v>29.717243833219836</v>
      </c>
      <c r="J27" s="169"/>
      <c r="K27" s="176" t="s">
        <v>326</v>
      </c>
      <c r="L27" s="170">
        <v>19</v>
      </c>
      <c r="M27" s="170" t="str">
        <f>+'Total General'!H53</f>
        <v xml:space="preserve">Promedio de 8. Esmeraldas - Estándar </v>
      </c>
      <c r="N27" s="170" t="str">
        <f>+VLOOKUP(M27,Listas!$B$6:$C$29,2,FALSE)</f>
        <v>Esmeraldas</v>
      </c>
      <c r="O27" s="173">
        <f>+'Total General'!I53</f>
        <v>20.039651156458525</v>
      </c>
      <c r="P27" s="168"/>
      <c r="Q27" s="176" t="s">
        <v>326</v>
      </c>
      <c r="R27" s="170">
        <v>19</v>
      </c>
      <c r="S27" s="170" t="str">
        <f>+'Total General'!O53</f>
        <v xml:space="preserve">Promedio de 16. Napo - Estáncar </v>
      </c>
      <c r="T27" s="170" t="str">
        <f>+VLOOKUP(S27,Listas!$B$6:$C$29,2,FALSE)</f>
        <v>Napo</v>
      </c>
      <c r="U27" s="173">
        <f>+'Total General'!P53</f>
        <v>46.328498411071408</v>
      </c>
      <c r="V27" s="168"/>
      <c r="W27" s="176" t="s">
        <v>326</v>
      </c>
      <c r="X27" s="170">
        <v>19</v>
      </c>
      <c r="Y27" s="170" t="str">
        <f>+'Total General'!V53</f>
        <v xml:space="preserve">Promedio de 18. Pastaza - Estáncar </v>
      </c>
      <c r="Z27" s="170" t="str">
        <f>+VLOOKUP(Y27,Listas!$B$6:$C$29,2,FALSE)</f>
        <v>Pastaza</v>
      </c>
      <c r="AA27" s="173">
        <f>+'Total General'!W53</f>
        <v>15.065458459918075</v>
      </c>
      <c r="AB27" s="168"/>
      <c r="AC27" s="176" t="s">
        <v>326</v>
      </c>
      <c r="AD27" s="170">
        <v>19</v>
      </c>
      <c r="AE27" s="170" t="str">
        <f>+'Total General'!AC53</f>
        <v xml:space="preserve">Promedio de 16. Napo - Estáncar </v>
      </c>
      <c r="AF27" s="170" t="str">
        <f>+VLOOKUP(AE27,Listas!$B$6:$C$29,2,FALSE)</f>
        <v>Napo</v>
      </c>
      <c r="AG27" s="173">
        <f>+'Total General'!AD53</f>
        <v>45.092046531236313</v>
      </c>
      <c r="AH27" s="168"/>
      <c r="AI27" s="176" t="s">
        <v>326</v>
      </c>
      <c r="AJ27" s="170">
        <v>19</v>
      </c>
      <c r="AK27" s="170" t="str">
        <f>+'Total General'!AJ53</f>
        <v xml:space="preserve">Promedio de 18. Pastaza - Estáncar </v>
      </c>
      <c r="AL27" s="170" t="str">
        <f>+VLOOKUP(AK27,Listas!$B$6:$C$29,2,FALSE)</f>
        <v>Pastaza</v>
      </c>
      <c r="AM27" s="173">
        <f>+'Total General'!AK53</f>
        <v>1.3552522661752147</v>
      </c>
      <c r="AN27" s="168"/>
      <c r="AO27" s="176" t="s">
        <v>326</v>
      </c>
      <c r="AP27" s="170">
        <v>19</v>
      </c>
      <c r="AQ27" s="170" t="str">
        <f>+'Total General'!AQ53</f>
        <v xml:space="preserve">Promedio de 12. Loja - Estándar </v>
      </c>
      <c r="AR27" s="170" t="str">
        <f>+VLOOKUP(AQ27,Listas!$B$6:$C$29,2,FALSE)</f>
        <v>Loja</v>
      </c>
      <c r="AS27" s="173">
        <f>+'Total General'!AR53</f>
        <v>19.596099345560066</v>
      </c>
      <c r="AT27" s="168"/>
      <c r="AU27" s="176" t="s">
        <v>326</v>
      </c>
      <c r="AV27" s="170">
        <v>19</v>
      </c>
      <c r="AW27" s="170" t="str">
        <f>+'Total General'!AX53</f>
        <v xml:space="preserve">Promedio de 2. Bolívar - Estándar </v>
      </c>
      <c r="AX27" s="170" t="str">
        <f>+VLOOKUP(AW27,Listas!$B$6:$C$29,2,FALSE)</f>
        <v>Bolívar</v>
      </c>
      <c r="AY27" s="173">
        <f>+'Total General'!AY53</f>
        <v>32.901394509232354</v>
      </c>
      <c r="AZ27" s="168"/>
      <c r="BA27" s="176" t="s">
        <v>326</v>
      </c>
      <c r="BB27" s="170">
        <v>19</v>
      </c>
      <c r="BC27" s="170" t="str">
        <f>+'Total General'!BE53</f>
        <v>Promedio de 24. Santo Domingo de los Tsachilas</v>
      </c>
      <c r="BD27" s="170" t="str">
        <f>+VLOOKUP(BC27,Listas!$B$6:$C$29,2,FALSE)</f>
        <v>Santo Domingo de los Tsachilas</v>
      </c>
      <c r="BE27" s="173">
        <f>+'Total General'!BF53</f>
        <v>34.08846794997045</v>
      </c>
      <c r="BF27" s="168"/>
      <c r="BG27" s="176" t="s">
        <v>326</v>
      </c>
      <c r="BH27" s="170">
        <v>19</v>
      </c>
      <c r="BI27" s="170" t="str">
        <f>+'Total General'!BL53</f>
        <v xml:space="preserve">Promedio de 13. Los Ríos - Estándar </v>
      </c>
      <c r="BJ27" s="170" t="str">
        <f>+VLOOKUP(BI27,Listas!$B$6:$C$29,2,FALSE)</f>
        <v>Los Ríos</v>
      </c>
      <c r="BK27" s="173">
        <f>+'Total General'!BM53</f>
        <v>29.25511159734895</v>
      </c>
      <c r="BL27" s="168"/>
      <c r="BM27" s="176" t="s">
        <v>326</v>
      </c>
      <c r="BN27" s="170">
        <v>19</v>
      </c>
      <c r="BO27" s="170" t="str">
        <f>+'Total General'!BS53</f>
        <v xml:space="preserve">Promedio de 5. Chimborazo - Estándar </v>
      </c>
      <c r="BP27" s="170" t="str">
        <f>+VLOOKUP(BO27,Listas!$B$6:$C$29,2,FALSE)</f>
        <v>Chimborazo</v>
      </c>
      <c r="BQ27" s="173">
        <f>+'Total General'!BT53</f>
        <v>40.44942862404671</v>
      </c>
      <c r="BR27" s="168"/>
      <c r="BS27" s="176" t="s">
        <v>326</v>
      </c>
      <c r="BT27" s="170">
        <v>19</v>
      </c>
      <c r="BU27" s="170" t="str">
        <f>+'Total General'!BZ53</f>
        <v xml:space="preserve">Promedio de 12. Loja - Estándar </v>
      </c>
      <c r="BV27" s="170" t="str">
        <f>+VLOOKUP(BU27,Listas!$B$6:$C$29,2,FALSE)</f>
        <v>Loja</v>
      </c>
      <c r="BW27" s="173">
        <f>+'Total General'!CA53</f>
        <v>19.848526100904159</v>
      </c>
      <c r="BX27" s="168"/>
      <c r="BY27" s="176" t="s">
        <v>326</v>
      </c>
      <c r="BZ27" s="170">
        <v>19</v>
      </c>
      <c r="CA27" s="170" t="str">
        <f>+'Total General'!CG53</f>
        <v xml:space="preserve">Promedio de 13. Los Ríos - Estándar </v>
      </c>
      <c r="CB27" s="170" t="str">
        <f>+VLOOKUP(CA27,Listas!$B$6:$C$29,2,FALSE)</f>
        <v>Los Ríos</v>
      </c>
      <c r="CC27" s="173">
        <f>+'Total General'!CH53</f>
        <v>23.265695665793974</v>
      </c>
      <c r="CD27" s="154"/>
    </row>
    <row r="28" spans="1:82">
      <c r="D28" s="163"/>
      <c r="E28" s="121"/>
      <c r="F28" s="4">
        <v>20</v>
      </c>
      <c r="G28" s="4" t="str">
        <f>+'Total General'!A54</f>
        <v xml:space="preserve">Promedio de 15. Morona Santiago - Estáncar </v>
      </c>
      <c r="H28" s="4" t="str">
        <f>+VLOOKUP(G28,Listas!$B$6:$C$29,2,FALSE)</f>
        <v>Morona Santiago</v>
      </c>
      <c r="I28" s="20">
        <f>+'Total General'!B54</f>
        <v>29.533706627347545</v>
      </c>
      <c r="J28" s="169"/>
      <c r="K28" s="176"/>
      <c r="L28" s="170">
        <v>20</v>
      </c>
      <c r="M28" s="170" t="str">
        <f>+'Total General'!H54</f>
        <v xml:space="preserve">Promedio de 14. Manabí - Estáncar </v>
      </c>
      <c r="N28" s="170" t="str">
        <f>+VLOOKUP(M28,Listas!$B$6:$C$29,2,FALSE)</f>
        <v>Manabí</v>
      </c>
      <c r="O28" s="173">
        <f>+'Total General'!I54</f>
        <v>19.0282919812215</v>
      </c>
      <c r="P28" s="168"/>
      <c r="Q28" s="176"/>
      <c r="R28" s="170">
        <v>20</v>
      </c>
      <c r="S28" s="170" t="str">
        <f>+'Total General'!O54</f>
        <v xml:space="preserve">Promedio de 12. Loja - Estándar </v>
      </c>
      <c r="T28" s="170" t="str">
        <f>+VLOOKUP(S28,Listas!$B$6:$C$29,2,FALSE)</f>
        <v>Loja</v>
      </c>
      <c r="U28" s="173">
        <f>+'Total General'!P54</f>
        <v>42.825466440078465</v>
      </c>
      <c r="V28" s="168"/>
      <c r="W28" s="176"/>
      <c r="X28" s="170">
        <v>20</v>
      </c>
      <c r="Y28" s="170" t="str">
        <f>+'Total General'!V54</f>
        <v xml:space="preserve">Promedio de 3. Cañar - Estándar </v>
      </c>
      <c r="Z28" s="170" t="str">
        <f>+VLOOKUP(Y28,Listas!$B$6:$C$29,2,FALSE)</f>
        <v>Cañar</v>
      </c>
      <c r="AA28" s="173">
        <f>+'Total General'!W54</f>
        <v>15.051379258329195</v>
      </c>
      <c r="AB28" s="168"/>
      <c r="AC28" s="176"/>
      <c r="AD28" s="170">
        <v>20</v>
      </c>
      <c r="AE28" s="170" t="str">
        <f>+'Total General'!AC54</f>
        <v xml:space="preserve">Promedio de 22. Zamora Chinchipe - Estándar </v>
      </c>
      <c r="AF28" s="170" t="str">
        <f>+VLOOKUP(AE28,Listas!$B$6:$C$29,2,FALSE)</f>
        <v>Zamora Chinchipe</v>
      </c>
      <c r="AG28" s="173">
        <f>+'Total General'!AD54</f>
        <v>45.001998082064418</v>
      </c>
      <c r="AH28" s="168"/>
      <c r="AI28" s="176"/>
      <c r="AJ28" s="170">
        <v>20</v>
      </c>
      <c r="AK28" s="170" t="str">
        <f>+'Total General'!AJ54</f>
        <v xml:space="preserve">Promedio de 15. Morona Santiago - Estáncar </v>
      </c>
      <c r="AL28" s="170" t="str">
        <f>+VLOOKUP(AK28,Listas!$B$6:$C$29,2,FALSE)</f>
        <v>Morona Santiago</v>
      </c>
      <c r="AM28" s="173">
        <f>+'Total General'!AK54</f>
        <v>0.99590557908401012</v>
      </c>
      <c r="AN28" s="168"/>
      <c r="AO28" s="176"/>
      <c r="AP28" s="170">
        <v>20</v>
      </c>
      <c r="AQ28" s="170" t="str">
        <f>+'Total General'!AQ54</f>
        <v xml:space="preserve">Promedio de 20. Sucumbíos - Estáncar </v>
      </c>
      <c r="AR28" s="170" t="str">
        <f>+VLOOKUP(AQ28,Listas!$B$6:$C$29,2,FALSE)</f>
        <v>Sucumbíos</v>
      </c>
      <c r="AS28" s="173">
        <f>+'Total General'!AR54</f>
        <v>19.341171382457276</v>
      </c>
      <c r="AT28" s="168"/>
      <c r="AU28" s="176"/>
      <c r="AV28" s="170">
        <v>20</v>
      </c>
      <c r="AW28" s="170" t="str">
        <f>+'Total General'!AX54</f>
        <v xml:space="preserve">Promedio de 18. Pastaza - Estáncar </v>
      </c>
      <c r="AX28" s="170" t="str">
        <f>+VLOOKUP(AW28,Listas!$B$6:$C$29,2,FALSE)</f>
        <v>Pastaza</v>
      </c>
      <c r="AY28" s="173">
        <f>+'Total General'!AY54</f>
        <v>29.597979280859889</v>
      </c>
      <c r="AZ28" s="168"/>
      <c r="BA28" s="176"/>
      <c r="BB28" s="170">
        <v>20</v>
      </c>
      <c r="BC28" s="170" t="str">
        <f>+'Total General'!BE54</f>
        <v xml:space="preserve">Promedio de 16. Napo - Estáncar </v>
      </c>
      <c r="BD28" s="170" t="str">
        <f>+VLOOKUP(BC28,Listas!$B$6:$C$29,2,FALSE)</f>
        <v>Napo</v>
      </c>
      <c r="BE28" s="173">
        <f>+'Total General'!BF54</f>
        <v>33.860137384586366</v>
      </c>
      <c r="BF28" s="168"/>
      <c r="BG28" s="176"/>
      <c r="BH28" s="170">
        <v>20</v>
      </c>
      <c r="BI28" s="170" t="str">
        <f>+'Total General'!BL54</f>
        <v xml:space="preserve">Promedio de 12. Loja - Estándar </v>
      </c>
      <c r="BJ28" s="170" t="str">
        <f>+VLOOKUP(BI28,Listas!$B$6:$C$29,2,FALSE)</f>
        <v>Loja</v>
      </c>
      <c r="BK28" s="173">
        <f>+'Total General'!BM54</f>
        <v>28.386724855994412</v>
      </c>
      <c r="BL28" s="168"/>
      <c r="BM28" s="176"/>
      <c r="BN28" s="170">
        <v>20</v>
      </c>
      <c r="BO28" s="170" t="str">
        <f>+'Total General'!BS54</f>
        <v xml:space="preserve">Promedio de 7. El Oro - Estándar </v>
      </c>
      <c r="BP28" s="170" t="str">
        <f>+VLOOKUP(BO28,Listas!$B$6:$C$29,2,FALSE)</f>
        <v>El Oro</v>
      </c>
      <c r="BQ28" s="173">
        <f>+'Total General'!BT54</f>
        <v>39.985356071638442</v>
      </c>
      <c r="BR28" s="168"/>
      <c r="BS28" s="176"/>
      <c r="BT28" s="170">
        <v>20</v>
      </c>
      <c r="BU28" s="170" t="str">
        <f>+'Total General'!BZ54</f>
        <v xml:space="preserve">Promedio de 6. Cotopaxi - Estándar </v>
      </c>
      <c r="BV28" s="170" t="str">
        <f>+VLOOKUP(BU28,Listas!$B$6:$C$29,2,FALSE)</f>
        <v>Cotopaxi</v>
      </c>
      <c r="BW28" s="173">
        <f>+'Total General'!CA54</f>
        <v>15.988962741411985</v>
      </c>
      <c r="BX28" s="168"/>
      <c r="BY28" s="176"/>
      <c r="BZ28" s="170">
        <v>20</v>
      </c>
      <c r="CA28" s="170" t="str">
        <f>+'Total General'!CG54</f>
        <v xml:space="preserve">Promedio de 8. Esmeraldas - Estándar </v>
      </c>
      <c r="CB28" s="170" t="str">
        <f>+VLOOKUP(CA28,Listas!$B$6:$C$29,2,FALSE)</f>
        <v>Esmeraldas</v>
      </c>
      <c r="CC28" s="173">
        <f>+'Total General'!CH54</f>
        <v>15.627820967938694</v>
      </c>
      <c r="CD28" s="154"/>
    </row>
    <row r="29" spans="1:82">
      <c r="D29" s="163"/>
      <c r="E29" s="121"/>
      <c r="F29" s="4">
        <v>21</v>
      </c>
      <c r="G29" s="4" t="str">
        <f>+'Total General'!A55</f>
        <v xml:space="preserve">Promedio de 8. Esmeraldas - Estándar </v>
      </c>
      <c r="H29" s="4" t="str">
        <f>+VLOOKUP(G29,Listas!$B$6:$C$29,2,FALSE)</f>
        <v>Esmeraldas</v>
      </c>
      <c r="I29" s="20">
        <f>+'Total General'!B55</f>
        <v>27.421869204610715</v>
      </c>
      <c r="J29" s="169"/>
      <c r="K29" s="176"/>
      <c r="L29" s="170">
        <v>21</v>
      </c>
      <c r="M29" s="170" t="str">
        <f>+'Total General'!H55</f>
        <v xml:space="preserve">Promedio de 4. Carchi - Estándar </v>
      </c>
      <c r="N29" s="170" t="str">
        <f>+VLOOKUP(M29,Listas!$B$6:$C$29,2,FALSE)</f>
        <v>Carchi</v>
      </c>
      <c r="O29" s="173">
        <f>+'Total General'!I55</f>
        <v>15.945527691485792</v>
      </c>
      <c r="P29" s="168"/>
      <c r="Q29" s="176"/>
      <c r="R29" s="170">
        <v>21</v>
      </c>
      <c r="S29" s="170" t="str">
        <f>+'Total General'!O55</f>
        <v xml:space="preserve">Promedio de 20. Sucumbíos - Estáncar </v>
      </c>
      <c r="T29" s="170" t="str">
        <f>+VLOOKUP(S29,Listas!$B$6:$C$29,2,FALSE)</f>
        <v>Sucumbíos</v>
      </c>
      <c r="U29" s="173">
        <f>+'Total General'!P55</f>
        <v>40.498723199875855</v>
      </c>
      <c r="V29" s="168"/>
      <c r="W29" s="176"/>
      <c r="X29" s="170">
        <v>21</v>
      </c>
      <c r="Y29" s="170" t="str">
        <f>+'Total General'!V55</f>
        <v xml:space="preserve">Promedio de 15. Morona Santiago - Estáncar </v>
      </c>
      <c r="Z29" s="170" t="str">
        <f>+VLOOKUP(Y29,Listas!$B$6:$C$29,2,FALSE)</f>
        <v>Morona Santiago</v>
      </c>
      <c r="AA29" s="173">
        <f>+'Total General'!W55</f>
        <v>14.086170050435873</v>
      </c>
      <c r="AB29" s="168"/>
      <c r="AC29" s="176"/>
      <c r="AD29" s="170">
        <v>21</v>
      </c>
      <c r="AE29" s="170" t="str">
        <f>+'Total General'!AC55</f>
        <v xml:space="preserve">Promedio de 15. Morona Santiago - Estáncar </v>
      </c>
      <c r="AF29" s="170" t="str">
        <f>+VLOOKUP(AE29,Listas!$B$6:$C$29,2,FALSE)</f>
        <v>Morona Santiago</v>
      </c>
      <c r="AG29" s="173">
        <f>+'Total General'!AD55</f>
        <v>44.759978409603498</v>
      </c>
      <c r="AH29" s="168"/>
      <c r="AI29" s="176"/>
      <c r="AJ29" s="170">
        <v>21</v>
      </c>
      <c r="AK29" s="170" t="str">
        <f>+'Total General'!AJ55</f>
        <v xml:space="preserve">Promedio de 17. Francisco de Orellana - Estándar </v>
      </c>
      <c r="AL29" s="170" t="str">
        <f>+VLOOKUP(AK29,Listas!$B$6:$C$29,2,FALSE)</f>
        <v>Francisco de Orellana</v>
      </c>
      <c r="AM29" s="173">
        <f>+'Total General'!AK55</f>
        <v>0.43359124897529111</v>
      </c>
      <c r="AN29" s="168"/>
      <c r="AO29" s="176"/>
      <c r="AP29" s="170">
        <v>21</v>
      </c>
      <c r="AQ29" s="170" t="str">
        <f>+'Total General'!AQ55</f>
        <v xml:space="preserve">Promedio de 8. Esmeraldas - Estándar </v>
      </c>
      <c r="AR29" s="170" t="str">
        <f>+VLOOKUP(AQ29,Listas!$B$6:$C$29,2,FALSE)</f>
        <v>Esmeraldas</v>
      </c>
      <c r="AS29" s="173">
        <f>+'Total General'!AR55</f>
        <v>16.916211578868687</v>
      </c>
      <c r="AT29" s="168"/>
      <c r="AU29" s="176"/>
      <c r="AV29" s="170">
        <v>21</v>
      </c>
      <c r="AW29" s="170" t="str">
        <f>+'Total General'!AX55</f>
        <v xml:space="preserve">Promedio de 20. Sucumbíos - Estáncar </v>
      </c>
      <c r="AX29" s="170" t="str">
        <f>+VLOOKUP(AW29,Listas!$B$6:$C$29,2,FALSE)</f>
        <v>Sucumbíos</v>
      </c>
      <c r="AY29" s="173">
        <f>+'Total General'!AY55</f>
        <v>29.106213342620517</v>
      </c>
      <c r="AZ29" s="168"/>
      <c r="BA29" s="176"/>
      <c r="BB29" s="170">
        <v>21</v>
      </c>
      <c r="BC29" s="170" t="str">
        <f>+'Total General'!BE55</f>
        <v xml:space="preserve">Promedio de 10. Guayas - Estándar </v>
      </c>
      <c r="BD29" s="170" t="str">
        <f>+VLOOKUP(BC29,Listas!$B$6:$C$29,2,FALSE)</f>
        <v>Guayas</v>
      </c>
      <c r="BE29" s="173">
        <f>+'Total General'!BF55</f>
        <v>32.868514748600631</v>
      </c>
      <c r="BF29" s="168"/>
      <c r="BG29" s="176"/>
      <c r="BH29" s="170">
        <v>21</v>
      </c>
      <c r="BI29" s="170" t="str">
        <f>+'Total General'!BL55</f>
        <v xml:space="preserve">Promedio de 6. Cotopaxi - Estándar </v>
      </c>
      <c r="BJ29" s="170" t="str">
        <f>+VLOOKUP(BI29,Listas!$B$6:$C$29,2,FALSE)</f>
        <v>Cotopaxi</v>
      </c>
      <c r="BK29" s="173">
        <f>+'Total General'!BM55</f>
        <v>22.791524109681667</v>
      </c>
      <c r="BL29" s="168"/>
      <c r="BM29" s="176"/>
      <c r="BN29" s="170">
        <v>21</v>
      </c>
      <c r="BO29" s="170" t="str">
        <f>+'Total General'!BS55</f>
        <v>Promedio de 1. Azuay - Estandar</v>
      </c>
      <c r="BP29" s="170" t="str">
        <f>+VLOOKUP(BO29,Listas!$B$6:$C$29,2,FALSE)</f>
        <v>Azuay</v>
      </c>
      <c r="BQ29" s="173">
        <f>+'Total General'!BT55</f>
        <v>36.781054277739024</v>
      </c>
      <c r="BR29" s="168"/>
      <c r="BS29" s="176"/>
      <c r="BT29" s="170">
        <v>21</v>
      </c>
      <c r="BU29" s="170" t="str">
        <f>+'Total General'!BZ55</f>
        <v>Promedio de 24. Santo Domingo de los Tsachilas</v>
      </c>
      <c r="BV29" s="170" t="str">
        <f>+VLOOKUP(BU29,Listas!$B$6:$C$29,2,FALSE)</f>
        <v>Santo Domingo de los Tsachilas</v>
      </c>
      <c r="BW29" s="173">
        <f>+'Total General'!CA55</f>
        <v>12.121947610419717</v>
      </c>
      <c r="BX29" s="168"/>
      <c r="BY29" s="176"/>
      <c r="BZ29" s="170">
        <v>21</v>
      </c>
      <c r="CA29" s="170" t="str">
        <f>+'Total General'!CG55</f>
        <v>Promedio de 23. Santa Elena</v>
      </c>
      <c r="CB29" s="170" t="str">
        <f>+VLOOKUP(CA29,Listas!$B$6:$C$29,2,FALSE)</f>
        <v>Santa Elena</v>
      </c>
      <c r="CC29" s="173">
        <f>+'Total General'!CH55</f>
        <v>15.241720355645466</v>
      </c>
      <c r="CD29" s="154"/>
    </row>
    <row r="30" spans="1:82">
      <c r="D30" s="163"/>
      <c r="E30" s="121"/>
      <c r="F30" s="4">
        <v>22</v>
      </c>
      <c r="G30" s="4" t="str">
        <f>+'Total General'!A56</f>
        <v xml:space="preserve">Promedio de 22. Zamora Chinchipe - Estándar </v>
      </c>
      <c r="H30" s="4" t="str">
        <f>+VLOOKUP(G30,Listas!$B$6:$C$29,2,FALSE)</f>
        <v>Zamora Chinchipe</v>
      </c>
      <c r="I30" s="20">
        <f>+'Total General'!B56</f>
        <v>27.051243784685575</v>
      </c>
      <c r="J30" s="169"/>
      <c r="K30" s="176"/>
      <c r="L30" s="170">
        <v>22</v>
      </c>
      <c r="M30" s="170" t="str">
        <f>+'Total General'!H56</f>
        <v xml:space="preserve">Promedio de 16. Napo - Estáncar </v>
      </c>
      <c r="N30" s="170" t="str">
        <f>+VLOOKUP(M30,Listas!$B$6:$C$29,2,FALSE)</f>
        <v>Napo</v>
      </c>
      <c r="O30" s="173">
        <f>+'Total General'!I56</f>
        <v>15.298410083637878</v>
      </c>
      <c r="P30" s="168"/>
      <c r="Q30" s="176"/>
      <c r="R30" s="170">
        <v>22</v>
      </c>
      <c r="S30" s="170" t="str">
        <f>+'Total General'!O56</f>
        <v xml:space="preserve">Promedio de 8. Esmeraldas - Estándar </v>
      </c>
      <c r="T30" s="170" t="str">
        <f>+VLOOKUP(S30,Listas!$B$6:$C$29,2,FALSE)</f>
        <v>Esmeraldas</v>
      </c>
      <c r="U30" s="173">
        <f>+'Total General'!P56</f>
        <v>37.615748605438512</v>
      </c>
      <c r="V30" s="168"/>
      <c r="W30" s="176"/>
      <c r="X30" s="170">
        <v>22</v>
      </c>
      <c r="Y30" s="170" t="str">
        <f>+'Total General'!V56</f>
        <v xml:space="preserve">Promedio de 22. Zamora Chinchipe - Estándar </v>
      </c>
      <c r="Z30" s="170" t="str">
        <f>+VLOOKUP(Y30,Listas!$B$6:$C$29,2,FALSE)</f>
        <v>Zamora Chinchipe</v>
      </c>
      <c r="AA30" s="173">
        <f>+'Total General'!W56</f>
        <v>10.866953270392713</v>
      </c>
      <c r="AB30" s="168"/>
      <c r="AC30" s="176"/>
      <c r="AD30" s="170">
        <v>22</v>
      </c>
      <c r="AE30" s="170" t="str">
        <f>+'Total General'!AC56</f>
        <v xml:space="preserve">Promedio de 20. Sucumbíos - Estáncar </v>
      </c>
      <c r="AF30" s="170" t="str">
        <f>+VLOOKUP(AE30,Listas!$B$6:$C$29,2,FALSE)</f>
        <v>Sucumbíos</v>
      </c>
      <c r="AG30" s="173">
        <f>+'Total General'!AD56</f>
        <v>41.781858215559325</v>
      </c>
      <c r="AH30" s="168"/>
      <c r="AI30" s="176"/>
      <c r="AJ30" s="170">
        <v>22</v>
      </c>
      <c r="AK30" s="170" t="str">
        <f>+'Total General'!AJ56</f>
        <v xml:space="preserve">Promedio de 22. Zamora Chinchipe - Estándar </v>
      </c>
      <c r="AL30" s="170" t="str">
        <f>+VLOOKUP(AK30,Listas!$B$6:$C$29,2,FALSE)</f>
        <v>Zamora Chinchipe</v>
      </c>
      <c r="AM30" s="173">
        <f>+'Total General'!AK56</f>
        <v>0.22699023351282843</v>
      </c>
      <c r="AN30" s="168"/>
      <c r="AO30" s="176"/>
      <c r="AP30" s="170">
        <v>22</v>
      </c>
      <c r="AQ30" s="170" t="str">
        <f>+'Total General'!AQ56</f>
        <v xml:space="preserve">Promedio de 15. Morona Santiago - Estáncar </v>
      </c>
      <c r="AR30" s="170" t="str">
        <f>+VLOOKUP(AQ30,Listas!$B$6:$C$29,2,FALSE)</f>
        <v>Morona Santiago</v>
      </c>
      <c r="AS30" s="173">
        <f>+'Total General'!AR56</f>
        <v>16.445318224507808</v>
      </c>
      <c r="AT30" s="168"/>
      <c r="AU30" s="176"/>
      <c r="AV30" s="170">
        <v>22</v>
      </c>
      <c r="AW30" s="170" t="str">
        <f>+'Total General'!AX56</f>
        <v xml:space="preserve">Promedio de 22. Zamora Chinchipe - Estándar </v>
      </c>
      <c r="AX30" s="170" t="str">
        <f>+VLOOKUP(AW30,Listas!$B$6:$C$29,2,FALSE)</f>
        <v>Zamora Chinchipe</v>
      </c>
      <c r="AY30" s="173">
        <f>+'Total General'!AY56</f>
        <v>28.602870806674787</v>
      </c>
      <c r="AZ30" s="168"/>
      <c r="BA30" s="176"/>
      <c r="BB30" s="170">
        <v>22</v>
      </c>
      <c r="BC30" s="170" t="str">
        <f>+'Total General'!BE56</f>
        <v xml:space="preserve">Promedio de 4. Carchi - Estándar </v>
      </c>
      <c r="BD30" s="170" t="str">
        <f>+VLOOKUP(BC30,Listas!$B$6:$C$29,2,FALSE)</f>
        <v>Carchi</v>
      </c>
      <c r="BE30" s="173">
        <f>+'Total General'!BF56</f>
        <v>29.354278162958181</v>
      </c>
      <c r="BF30" s="168"/>
      <c r="BG30" s="176"/>
      <c r="BH30" s="170">
        <v>22</v>
      </c>
      <c r="BI30" s="170" t="str">
        <f>+'Total General'!BL56</f>
        <v xml:space="preserve">Promedio de 14. Manabí - Estáncar </v>
      </c>
      <c r="BJ30" s="170" t="str">
        <f>+VLOOKUP(BI30,Listas!$B$6:$C$29,2,FALSE)</f>
        <v>Manabí</v>
      </c>
      <c r="BK30" s="173">
        <f>+'Total General'!BM56</f>
        <v>21.122436683727681</v>
      </c>
      <c r="BL30" s="168"/>
      <c r="BM30" s="176"/>
      <c r="BN30" s="170">
        <v>22</v>
      </c>
      <c r="BO30" s="170" t="str">
        <f>+'Total General'!BS56</f>
        <v xml:space="preserve">Promedio de 3. Cañar - Estándar </v>
      </c>
      <c r="BP30" s="170" t="str">
        <f>+VLOOKUP(BO30,Listas!$B$6:$C$29,2,FALSE)</f>
        <v>Cañar</v>
      </c>
      <c r="BQ30" s="173">
        <f>+'Total General'!BT56</f>
        <v>36.710184920092637</v>
      </c>
      <c r="BR30" s="168"/>
      <c r="BS30" s="176"/>
      <c r="BT30" s="170">
        <v>22</v>
      </c>
      <c r="BU30" s="170" t="str">
        <f>+'Total General'!BZ56</f>
        <v xml:space="preserve">Promedio de 8. Esmeraldas - Estándar </v>
      </c>
      <c r="BV30" s="170" t="str">
        <f>+VLOOKUP(BU30,Listas!$B$6:$C$29,2,FALSE)</f>
        <v>Esmeraldas</v>
      </c>
      <c r="BW30" s="173">
        <f>+'Total General'!CA56</f>
        <v>10.277264663899899</v>
      </c>
      <c r="BX30" s="168"/>
      <c r="BY30" s="176"/>
      <c r="BZ30" s="170">
        <v>22</v>
      </c>
      <c r="CA30" s="170" t="str">
        <f>+'Total General'!CG56</f>
        <v xml:space="preserve">Promedio de 15. Morona Santiago - Estáncar </v>
      </c>
      <c r="CB30" s="170" t="str">
        <f>+VLOOKUP(CA30,Listas!$B$6:$C$29,2,FALSE)</f>
        <v>Morona Santiago</v>
      </c>
      <c r="CC30" s="173">
        <f>+'Total General'!CH56</f>
        <v>12.320977792866357</v>
      </c>
      <c r="CD30" s="154"/>
    </row>
    <row r="31" spans="1:82">
      <c r="D31" s="163"/>
      <c r="E31" s="121"/>
      <c r="F31" s="4">
        <v>23</v>
      </c>
      <c r="G31" s="4" t="str">
        <f>+'Total General'!A57</f>
        <v xml:space="preserve">Promedio de 20. Sucumbíos - Estáncar </v>
      </c>
      <c r="H31" s="4" t="str">
        <f>+VLOOKUP(G31,Listas!$B$6:$C$29,2,FALSE)</f>
        <v>Sucumbíos</v>
      </c>
      <c r="I31" s="20">
        <f>+'Total General'!B57</f>
        <v>26.989129578455895</v>
      </c>
      <c r="J31" s="169"/>
      <c r="K31" s="176"/>
      <c r="L31" s="170">
        <v>23</v>
      </c>
      <c r="M31" s="170" t="str">
        <f>+'Total General'!H57</f>
        <v xml:space="preserve">Promedio de 22. Zamora Chinchipe - Estándar </v>
      </c>
      <c r="N31" s="170" t="str">
        <f>+VLOOKUP(M31,Listas!$B$6:$C$29,2,FALSE)</f>
        <v>Zamora Chinchipe</v>
      </c>
      <c r="O31" s="173">
        <f>+'Total General'!I57</f>
        <v>8.4299880609960027</v>
      </c>
      <c r="P31" s="168"/>
      <c r="Q31" s="176"/>
      <c r="R31" s="170">
        <v>23</v>
      </c>
      <c r="S31" s="170" t="str">
        <f>+'Total General'!O57</f>
        <v xml:space="preserve">Promedio de 13. Los Ríos - Estándar </v>
      </c>
      <c r="T31" s="170" t="str">
        <f>+VLOOKUP(S31,Listas!$B$6:$C$29,2,FALSE)</f>
        <v>Los Ríos</v>
      </c>
      <c r="U31" s="173">
        <f>+'Total General'!P57</f>
        <v>31.185606853408366</v>
      </c>
      <c r="V31" s="168"/>
      <c r="W31" s="176"/>
      <c r="X31" s="170">
        <v>23</v>
      </c>
      <c r="Y31" s="170" t="str">
        <f>+'Total General'!V57</f>
        <v xml:space="preserve">Promedio de 16. Napo - Estáncar </v>
      </c>
      <c r="Z31" s="170" t="str">
        <f>+VLOOKUP(Y31,Listas!$B$6:$C$29,2,FALSE)</f>
        <v>Napo</v>
      </c>
      <c r="AA31" s="173">
        <f>+'Total General'!W57</f>
        <v>8.8619893064024389</v>
      </c>
      <c r="AB31" s="168"/>
      <c r="AC31" s="176"/>
      <c r="AD31" s="170">
        <v>23</v>
      </c>
      <c r="AE31" s="170" t="str">
        <f>+'Total General'!AC57</f>
        <v xml:space="preserve">Promedio de 17. Francisco de Orellana - Estándar </v>
      </c>
      <c r="AF31" s="170" t="str">
        <f>+VLOOKUP(AE31,Listas!$B$6:$C$29,2,FALSE)</f>
        <v>Francisco de Orellana</v>
      </c>
      <c r="AG31" s="173">
        <f>+'Total General'!AD57</f>
        <v>32.96747888318167</v>
      </c>
      <c r="AH31" s="168"/>
      <c r="AI31" s="176"/>
      <c r="AJ31" s="170">
        <v>23</v>
      </c>
      <c r="AK31" s="170" t="str">
        <f>+'Total General'!AJ57</f>
        <v xml:space="preserve">Promedio de 12. Loja - Estándar </v>
      </c>
      <c r="AL31" s="170" t="str">
        <f>+VLOOKUP(AK31,Listas!$B$6:$C$29,2,FALSE)</f>
        <v>Loja</v>
      </c>
      <c r="AM31" s="173">
        <f>+'Total General'!AK57</f>
        <v>4.0366926406847442E-2</v>
      </c>
      <c r="AN31" s="168"/>
      <c r="AO31" s="176"/>
      <c r="AP31" s="170">
        <v>23</v>
      </c>
      <c r="AQ31" s="170" t="str">
        <f>+'Total General'!AQ57</f>
        <v xml:space="preserve">Promedio de 22. Zamora Chinchipe - Estándar </v>
      </c>
      <c r="AR31" s="170" t="str">
        <f>+VLOOKUP(AQ31,Listas!$B$6:$C$29,2,FALSE)</f>
        <v>Zamora Chinchipe</v>
      </c>
      <c r="AS31" s="173">
        <f>+'Total General'!AR57</f>
        <v>15.69305166942673</v>
      </c>
      <c r="AT31" s="168"/>
      <c r="AU31" s="176"/>
      <c r="AV31" s="170">
        <v>23</v>
      </c>
      <c r="AW31" s="170" t="str">
        <f>+'Total General'!AX57</f>
        <v xml:space="preserve">Promedio de 17. Francisco de Orellana - Estándar </v>
      </c>
      <c r="AX31" s="170" t="str">
        <f>+VLOOKUP(AW31,Listas!$B$6:$C$29,2,FALSE)</f>
        <v>Francisco de Orellana</v>
      </c>
      <c r="AY31" s="173">
        <f>+'Total General'!AY57</f>
        <v>27.91700068781509</v>
      </c>
      <c r="AZ31" s="168"/>
      <c r="BA31" s="176"/>
      <c r="BB31" s="170">
        <v>23</v>
      </c>
      <c r="BC31" s="170" t="str">
        <f>+'Total General'!BE57</f>
        <v xml:space="preserve">Promedio de 6. Cotopaxi - Estándar </v>
      </c>
      <c r="BD31" s="170" t="str">
        <f>+VLOOKUP(BC31,Listas!$B$6:$C$29,2,FALSE)</f>
        <v>Cotopaxi</v>
      </c>
      <c r="BE31" s="173">
        <f>+'Total General'!BF57</f>
        <v>28.027966296754386</v>
      </c>
      <c r="BF31" s="168"/>
      <c r="BG31" s="176"/>
      <c r="BH31" s="170">
        <v>23</v>
      </c>
      <c r="BI31" s="170" t="str">
        <f>+'Total General'!BL57</f>
        <v xml:space="preserve">Promedio de 8. Esmeraldas - Estándar </v>
      </c>
      <c r="BJ31" s="170" t="str">
        <f>+VLOOKUP(BI31,Listas!$B$6:$C$29,2,FALSE)</f>
        <v>Esmeraldas</v>
      </c>
      <c r="BK31" s="173">
        <f>+'Total General'!BM57</f>
        <v>20.131725555148698</v>
      </c>
      <c r="BL31" s="168"/>
      <c r="BM31" s="176"/>
      <c r="BN31" s="170">
        <v>23</v>
      </c>
      <c r="BO31" s="170" t="str">
        <f>+'Total General'!BS57</f>
        <v xml:space="preserve">Promedio de 6. Cotopaxi - Estándar </v>
      </c>
      <c r="BP31" s="170" t="str">
        <f>+VLOOKUP(BO31,Listas!$B$6:$C$29,2,FALSE)</f>
        <v>Cotopaxi</v>
      </c>
      <c r="BQ31" s="173">
        <f>+'Total General'!BT57</f>
        <v>35.919340894704689</v>
      </c>
      <c r="BR31" s="168"/>
      <c r="BS31" s="176"/>
      <c r="BT31" s="170">
        <v>23</v>
      </c>
      <c r="BU31" s="170" t="str">
        <f>+'Total General'!BZ57</f>
        <v xml:space="preserve">Promedio de 14. Manabí - Estáncar </v>
      </c>
      <c r="BV31" s="170" t="str">
        <f>+VLOOKUP(BU31,Listas!$B$6:$C$29,2,FALSE)</f>
        <v>Manabí</v>
      </c>
      <c r="BW31" s="173">
        <f>+'Total General'!CA57</f>
        <v>10.000836479091461</v>
      </c>
      <c r="BX31" s="168"/>
      <c r="BY31" s="176"/>
      <c r="BZ31" s="170">
        <v>23</v>
      </c>
      <c r="CA31" s="170" t="str">
        <f>+'Total General'!CG57</f>
        <v xml:space="preserve">Promedio de 17. Francisco de Orellana - Estándar </v>
      </c>
      <c r="CB31" s="170" t="str">
        <f>+VLOOKUP(CA31,Listas!$B$6:$C$29,2,FALSE)</f>
        <v>Francisco de Orellana</v>
      </c>
      <c r="CC31" s="173">
        <f>+'Total General'!CH57</f>
        <v>11.919709125449563</v>
      </c>
      <c r="CD31" s="154"/>
    </row>
    <row r="32" spans="1:82">
      <c r="D32" s="163"/>
      <c r="E32" s="121"/>
      <c r="F32" s="4">
        <v>24</v>
      </c>
      <c r="G32" s="4" t="str">
        <f>+'Total General'!A58</f>
        <v xml:space="preserve">Promedio de 16. Napo - Estáncar </v>
      </c>
      <c r="H32" s="4" t="str">
        <f>+VLOOKUP(G32,Listas!$B$6:$C$29,2,FALSE)</f>
        <v>Napo</v>
      </c>
      <c r="I32" s="20">
        <f>+'Total General'!B58</f>
        <v>26.937712908191553</v>
      </c>
      <c r="J32" s="169"/>
      <c r="K32" s="176"/>
      <c r="L32" s="170">
        <v>24</v>
      </c>
      <c r="M32" s="170" t="str">
        <f>+'Total General'!H58</f>
        <v xml:space="preserve">Promedio de 2. Bolívar - Estándar </v>
      </c>
      <c r="N32" s="170" t="str">
        <f>+VLOOKUP(M32,Listas!$B$6:$C$29,2,FALSE)</f>
        <v>Bolívar</v>
      </c>
      <c r="O32" s="173">
        <f>+'Total General'!I58</f>
        <v>7.1315725188494845</v>
      </c>
      <c r="P32" s="168"/>
      <c r="Q32" s="176"/>
      <c r="R32" s="170">
        <v>24</v>
      </c>
      <c r="S32" s="170" t="str">
        <f>+'Total General'!O58</f>
        <v xml:space="preserve">Promedio de 10. Guayas - Estándar </v>
      </c>
      <c r="T32" s="170" t="str">
        <f>+VLOOKUP(S32,Listas!$B$6:$C$29,2,FALSE)</f>
        <v>Guayas</v>
      </c>
      <c r="U32" s="173">
        <f>+'Total General'!P58</f>
        <v>25.985485337513303</v>
      </c>
      <c r="V32" s="168"/>
      <c r="W32" s="176"/>
      <c r="X32" s="170">
        <v>24</v>
      </c>
      <c r="Y32" s="170" t="str">
        <f>+'Total General'!V58</f>
        <v xml:space="preserve">Promedio de 2. Bolívar - Estándar </v>
      </c>
      <c r="Z32" s="170" t="str">
        <f>+VLOOKUP(Y32,Listas!$B$6:$C$29,2,FALSE)</f>
        <v>Bolívar</v>
      </c>
      <c r="AA32" s="173">
        <f>+'Total General'!W58</f>
        <v>5.2703627652292955</v>
      </c>
      <c r="AB32" s="168"/>
      <c r="AC32" s="176"/>
      <c r="AD32" s="170">
        <v>24</v>
      </c>
      <c r="AE32" s="170" t="str">
        <f>+'Total General'!AC58</f>
        <v xml:space="preserve">Promedio de 9. Galápagos - Estándar </v>
      </c>
      <c r="AF32" s="170" t="str">
        <f>+VLOOKUP(AE32,Listas!$B$6:$C$29,2,FALSE)</f>
        <v>Galápagos</v>
      </c>
      <c r="AG32" s="173">
        <f>+'Total General'!AD58</f>
        <v>24.667058362710538</v>
      </c>
      <c r="AH32" s="168"/>
      <c r="AI32" s="176"/>
      <c r="AJ32" s="170">
        <v>24</v>
      </c>
      <c r="AK32" s="170" t="str">
        <f>+'Total General'!AJ58</f>
        <v xml:space="preserve">Promedio de 20. Sucumbíos - Estáncar </v>
      </c>
      <c r="AL32" s="170" t="str">
        <f>+VLOOKUP(AK32,Listas!$B$6:$C$29,2,FALSE)</f>
        <v>Sucumbíos</v>
      </c>
      <c r="AM32" s="173">
        <f>+'Total General'!AK58</f>
        <v>1.1767474699929396E-2</v>
      </c>
      <c r="AN32" s="168"/>
      <c r="AO32" s="176"/>
      <c r="AP32" s="170">
        <v>24</v>
      </c>
      <c r="AQ32" s="170" t="str">
        <f>+'Total General'!AQ58</f>
        <v xml:space="preserve">Promedio de 16. Napo - Estáncar </v>
      </c>
      <c r="AR32" s="170" t="str">
        <f>+VLOOKUP(AQ32,Listas!$B$6:$C$29,2,FALSE)</f>
        <v>Napo</v>
      </c>
      <c r="AS32" s="173">
        <f>+'Total General'!AR58</f>
        <v>12.946020471393387</v>
      </c>
      <c r="AT32" s="168"/>
      <c r="AU32" s="176"/>
      <c r="AV32" s="170">
        <v>24</v>
      </c>
      <c r="AW32" s="170" t="str">
        <f>+'Total General'!AX58</f>
        <v xml:space="preserve">Promedio de 15. Morona Santiago - Estáncar </v>
      </c>
      <c r="AX32" s="170" t="str">
        <f>+VLOOKUP(AW32,Listas!$B$6:$C$29,2,FALSE)</f>
        <v>Morona Santiago</v>
      </c>
      <c r="AY32" s="173">
        <f>+'Total General'!AY58</f>
        <v>18.556170745663252</v>
      </c>
      <c r="AZ32" s="168"/>
      <c r="BA32" s="176"/>
      <c r="BB32" s="170">
        <v>24</v>
      </c>
      <c r="BC32" s="170" t="str">
        <f>+'Total General'!BE58</f>
        <v xml:space="preserve">Promedio de 20. Sucumbíos - Estáncar </v>
      </c>
      <c r="BD32" s="170" t="str">
        <f>+VLOOKUP(BC32,Listas!$B$6:$C$29,2,FALSE)</f>
        <v>Sucumbíos</v>
      </c>
      <c r="BE32" s="173">
        <f>+'Total General'!BF58</f>
        <v>14.477820421511758</v>
      </c>
      <c r="BF32" s="168"/>
      <c r="BG32" s="176"/>
      <c r="BH32" s="170">
        <v>24</v>
      </c>
      <c r="BI32" s="170" t="str">
        <f>+'Total General'!BL58</f>
        <v xml:space="preserve">Promedio de 2. Bolívar - Estándar </v>
      </c>
      <c r="BJ32" s="170" t="str">
        <f>+VLOOKUP(BI32,Listas!$B$6:$C$29,2,FALSE)</f>
        <v>Bolívar</v>
      </c>
      <c r="BK32" s="173">
        <f>+'Total General'!BM58</f>
        <v>15.105123117856001</v>
      </c>
      <c r="BL32" s="168"/>
      <c r="BM32" s="176"/>
      <c r="BN32" s="170">
        <v>24</v>
      </c>
      <c r="BO32" s="170" t="str">
        <f>+'Total General'!BS58</f>
        <v xml:space="preserve">Promedio de 12. Loja - Estándar </v>
      </c>
      <c r="BP32" s="170" t="str">
        <f>+VLOOKUP(BO32,Listas!$B$6:$C$29,2,FALSE)</f>
        <v>Loja</v>
      </c>
      <c r="BQ32" s="173">
        <f>+'Total General'!BT58</f>
        <v>31.652729935089518</v>
      </c>
      <c r="BR32" s="168"/>
      <c r="BS32" s="176"/>
      <c r="BT32" s="170">
        <v>24</v>
      </c>
      <c r="BU32" s="170" t="str">
        <f>+'Total General'!BZ58</f>
        <v xml:space="preserve">Promedio de 10. Guayas - Estándar </v>
      </c>
      <c r="BV32" s="170" t="str">
        <f>+VLOOKUP(BU32,Listas!$B$6:$C$29,2,FALSE)</f>
        <v>Guayas</v>
      </c>
      <c r="BW32" s="173">
        <f>+'Total General'!CA58</f>
        <v>4.2577554880047375</v>
      </c>
      <c r="BX32" s="168"/>
      <c r="BY32" s="176"/>
      <c r="BZ32" s="170">
        <v>24</v>
      </c>
      <c r="CA32" s="170" t="str">
        <f>+'Total General'!CG58</f>
        <v xml:space="preserve">Promedio de 20. Sucumbíos - Estáncar </v>
      </c>
      <c r="CB32" s="170" t="str">
        <f>+VLOOKUP(CA32,Listas!$B$6:$C$29,2,FALSE)</f>
        <v>Sucumbíos</v>
      </c>
      <c r="CC32" s="173">
        <f>+'Total General'!CH58</f>
        <v>11.368062474127202</v>
      </c>
      <c r="CD32" s="154"/>
    </row>
    <row r="33" spans="5:81" s="162" customFormat="1">
      <c r="E33" s="166"/>
      <c r="F33" s="167" t="s">
        <v>382</v>
      </c>
      <c r="G33" s="166"/>
      <c r="H33" s="166"/>
      <c r="I33" s="166"/>
      <c r="K33" s="166"/>
      <c r="L33" s="167" t="s">
        <v>382</v>
      </c>
      <c r="M33" s="166"/>
      <c r="N33" s="166"/>
      <c r="O33" s="166"/>
      <c r="Q33" s="166"/>
      <c r="R33" s="166"/>
      <c r="S33" s="166"/>
      <c r="T33" s="167" t="s">
        <v>382</v>
      </c>
      <c r="U33" s="166"/>
      <c r="W33" s="166"/>
      <c r="X33" s="167" t="s">
        <v>382</v>
      </c>
      <c r="Y33" s="166"/>
      <c r="Z33" s="166"/>
      <c r="AA33" s="166"/>
      <c r="AC33" s="166"/>
      <c r="AD33" s="167" t="s">
        <v>382</v>
      </c>
      <c r="AE33" s="166"/>
      <c r="AF33" s="166"/>
      <c r="AG33" s="166"/>
      <c r="AI33" s="166"/>
      <c r="AJ33" s="167" t="s">
        <v>382</v>
      </c>
      <c r="AK33" s="166"/>
      <c r="AL33" s="166"/>
      <c r="AM33" s="166"/>
      <c r="AO33" s="166"/>
      <c r="AP33" s="166"/>
      <c r="AQ33" s="166"/>
      <c r="AR33" s="167" t="s">
        <v>382</v>
      </c>
      <c r="AS33" s="166"/>
      <c r="AU33" s="166"/>
      <c r="AV33" s="166"/>
      <c r="AW33" s="166"/>
      <c r="AX33" s="167" t="s">
        <v>382</v>
      </c>
      <c r="AY33" s="166"/>
      <c r="BA33" s="166"/>
      <c r="BB33" s="166"/>
      <c r="BC33" s="166"/>
      <c r="BD33" s="167" t="s">
        <v>382</v>
      </c>
      <c r="BE33" s="166"/>
      <c r="BG33" s="166"/>
      <c r="BH33" s="166"/>
      <c r="BI33" s="166"/>
      <c r="BJ33" s="167" t="s">
        <v>382</v>
      </c>
      <c r="BK33" s="166"/>
      <c r="BM33" s="166"/>
      <c r="BN33" s="166"/>
      <c r="BO33" s="166"/>
      <c r="BP33" s="167" t="s">
        <v>382</v>
      </c>
      <c r="BQ33" s="166"/>
      <c r="BS33" s="166"/>
      <c r="BT33" s="166"/>
      <c r="BU33" s="166"/>
      <c r="BV33" s="167" t="s">
        <v>382</v>
      </c>
      <c r="BW33" s="166"/>
      <c r="BY33" s="166"/>
      <c r="BZ33" s="166"/>
      <c r="CA33" s="166"/>
      <c r="CB33" s="167" t="s">
        <v>382</v>
      </c>
      <c r="CC33" s="166"/>
    </row>
  </sheetData>
  <sortState ref="B3:C14">
    <sortCondition descending="1" ref="C3:C14"/>
  </sortState>
  <mergeCells count="52">
    <mergeCell ref="BA9:BA14"/>
    <mergeCell ref="BA15:BA20"/>
    <mergeCell ref="BA21:BA26"/>
    <mergeCell ref="BA27:BA32"/>
    <mergeCell ref="AO9:AO14"/>
    <mergeCell ref="AO15:AO20"/>
    <mergeCell ref="AO21:AO26"/>
    <mergeCell ref="AO27:AO32"/>
    <mergeCell ref="AU9:AU14"/>
    <mergeCell ref="AU15:AU20"/>
    <mergeCell ref="AU21:AU26"/>
    <mergeCell ref="AU27:AU32"/>
    <mergeCell ref="AC9:AC14"/>
    <mergeCell ref="AC15:AC20"/>
    <mergeCell ref="AC21:AC26"/>
    <mergeCell ref="AC27:AC32"/>
    <mergeCell ref="AI9:AI14"/>
    <mergeCell ref="AI15:AI20"/>
    <mergeCell ref="AI21:AI26"/>
    <mergeCell ref="AI27:AI32"/>
    <mergeCell ref="Q9:Q14"/>
    <mergeCell ref="Q15:Q20"/>
    <mergeCell ref="Q21:Q26"/>
    <mergeCell ref="Q27:Q32"/>
    <mergeCell ref="W9:W14"/>
    <mergeCell ref="W15:W20"/>
    <mergeCell ref="W21:W26"/>
    <mergeCell ref="W27:W32"/>
    <mergeCell ref="E9:E14"/>
    <mergeCell ref="E15:E20"/>
    <mergeCell ref="E21:E26"/>
    <mergeCell ref="E27:E32"/>
    <mergeCell ref="K9:K14"/>
    <mergeCell ref="K15:K20"/>
    <mergeCell ref="K21:K26"/>
    <mergeCell ref="K27:K32"/>
    <mergeCell ref="BG9:BG14"/>
    <mergeCell ref="BG15:BG20"/>
    <mergeCell ref="BG21:BG26"/>
    <mergeCell ref="BG27:BG32"/>
    <mergeCell ref="BM9:BM14"/>
    <mergeCell ref="BM15:BM20"/>
    <mergeCell ref="BM21:BM26"/>
    <mergeCell ref="BM27:BM32"/>
    <mergeCell ref="BS9:BS14"/>
    <mergeCell ref="BS15:BS20"/>
    <mergeCell ref="BS21:BS26"/>
    <mergeCell ref="BS27:BS32"/>
    <mergeCell ref="BY9:BY14"/>
    <mergeCell ref="BY15:BY20"/>
    <mergeCell ref="BY21:BY26"/>
    <mergeCell ref="BY27:BY32"/>
  </mergeCells>
  <conditionalFormatting sqref="H9:H3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{8298261C-1135-9544-9CAD-592AF6569005}</x14:id>
        </ext>
      </extLst>
    </cfRule>
  </conditionalFormatting>
  <conditionalFormatting sqref="I9:I32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hyperlinks>
    <hyperlink ref="J6" location="Indice!A1" display="ÍNDICE"/>
    <hyperlink ref="V6" location="Indice!A1" display="ÍNDICE"/>
    <hyperlink ref="AH6" location="Indice!A1" display="ÍNDICE"/>
    <hyperlink ref="AT6" location="Indice!A1" display="ÍNDICE"/>
    <hyperlink ref="BF6" location="Indice!A1" display="ÍNDICE"/>
    <hyperlink ref="BR6" location="Indice!A1" display="ÍNDICE"/>
    <hyperlink ref="CD6" location="Indice!A1" display="ÍNDICE"/>
  </hyperlinks>
  <pageMargins left="0.75" right="0.75" top="1" bottom="1" header="0.5" footer="0.5"/>
  <pageSetup paperSize="9" orientation="landscape" horizontalDpi="4294967292" verticalDpi="429496729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98261C-1135-9544-9CAD-592AF656900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H9:H32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3"/>
  <sheetViews>
    <sheetView zoomScale="150" zoomScaleNormal="150" zoomScalePageLayoutView="150" workbookViewId="0">
      <selection activeCell="F5" sqref="F5"/>
    </sheetView>
  </sheetViews>
  <sheetFormatPr baseColWidth="10" defaultRowHeight="15" x14ac:dyDescent="0"/>
  <cols>
    <col min="1" max="1" width="24.83203125" style="179" customWidth="1"/>
    <col min="2" max="2" width="30.1640625" style="180" customWidth="1"/>
    <col min="3" max="3" width="46.83203125" style="180" customWidth="1"/>
    <col min="4" max="5" width="15.5" style="157" customWidth="1"/>
    <col min="6" max="6" width="22.1640625" style="157" customWidth="1"/>
    <col min="7" max="16384" width="10.83203125" style="157"/>
  </cols>
  <sheetData>
    <row r="3" spans="1:6" ht="47" customHeight="1">
      <c r="C3" s="181" t="s">
        <v>388</v>
      </c>
      <c r="D3" s="181"/>
      <c r="E3" s="181"/>
    </row>
    <row r="5" spans="1:6">
      <c r="F5" s="211" t="s">
        <v>393</v>
      </c>
    </row>
    <row r="7" spans="1:6" ht="30">
      <c r="A7" s="182" t="s">
        <v>1</v>
      </c>
      <c r="B7" s="183" t="s">
        <v>5</v>
      </c>
      <c r="C7" s="183" t="s">
        <v>6</v>
      </c>
      <c r="D7" s="183" t="s">
        <v>383</v>
      </c>
      <c r="E7" s="184" t="str">
        <f>+Base!AQ3</f>
        <v>Guayas</v>
      </c>
      <c r="F7" s="183" t="s">
        <v>386</v>
      </c>
    </row>
    <row r="8" spans="1:6" ht="30">
      <c r="A8" s="185" t="str">
        <f>+Base!B4</f>
        <v>Desarrollo Integral de las personas</v>
      </c>
      <c r="B8" s="186" t="str">
        <f>+Base!F4</f>
        <v>Tasa de mortalidad infantil</v>
      </c>
      <c r="C8" s="186" t="str">
        <f>+Base!G4</f>
        <v>(Número de defunciones de niños de menos de 12 meses / Nacidos vivos) x 1000</v>
      </c>
      <c r="D8" s="187">
        <f>+Base!AI4</f>
        <v>7.679166666666668</v>
      </c>
      <c r="E8" s="187">
        <f>+Base!AQ4</f>
        <v>8.4600000000000009</v>
      </c>
      <c r="F8" s="188" t="str">
        <f>+IF(E8&lt;D8,"Mejor que el promedio","Peor que el promedio ")</f>
        <v xml:space="preserve">Peor que el promedio </v>
      </c>
    </row>
    <row r="9" spans="1:6">
      <c r="A9" s="185"/>
      <c r="B9" s="186" t="str">
        <f>+Base!F5</f>
        <v>Años de escolaridad</v>
      </c>
      <c r="C9" s="186" t="str">
        <f>+Base!G5</f>
        <v>Años de estudio promedio</v>
      </c>
      <c r="D9" s="187">
        <f>+Base!AI5</f>
        <v>9.2208333333333332</v>
      </c>
      <c r="E9" s="187">
        <f>+Base!AQ5</f>
        <v>10.3</v>
      </c>
      <c r="F9" s="188" t="str">
        <f t="shared" ref="F9:F71" si="0">+IF(E9&gt;D9,"Mejor que el promedio","Peor que el promedio ")</f>
        <v>Mejor que el promedio</v>
      </c>
    </row>
    <row r="10" spans="1:6">
      <c r="A10" s="185"/>
      <c r="B10" s="186" t="str">
        <f>+Base!F6</f>
        <v>Tasa de Repitencia y Desersión Esc.</v>
      </c>
      <c r="C10" s="186" t="str">
        <f>+Base!G6</f>
        <v>(Total deserción primaria) / (población matriculada)</v>
      </c>
      <c r="D10" s="189">
        <f>+Base!AI6</f>
        <v>1.9125000000000007E-2</v>
      </c>
      <c r="E10" s="189">
        <f>+Base!AQ6</f>
        <v>2.8000000000000001E-2</v>
      </c>
      <c r="F10" s="188" t="str">
        <f>+IF(E10&lt;D10,"Mejor que el promedio","Peor que el promedio ")</f>
        <v xml:space="preserve">Peor que el promedio </v>
      </c>
    </row>
    <row r="11" spans="1:6">
      <c r="A11" s="185"/>
      <c r="B11" s="186" t="str">
        <f>+Base!F7</f>
        <v>Tasa bruta de asistencia secundaria</v>
      </c>
      <c r="C11" s="186" t="str">
        <f>+Base!G7</f>
        <v>(Matrícula secundaria) / (población relevante)</v>
      </c>
      <c r="D11" s="189">
        <f>+Base!AI7</f>
        <v>0.89320833333333327</v>
      </c>
      <c r="E11" s="189">
        <f>+Base!AQ7</f>
        <v>0.872</v>
      </c>
      <c r="F11" s="188" t="str">
        <f>+IF(E11&lt;D11,"Mejor que el promedio","Peor que el promedio ")</f>
        <v>Mejor que el promedio</v>
      </c>
    </row>
    <row r="12" spans="1:6">
      <c r="A12" s="185"/>
      <c r="B12" s="186" t="str">
        <f>+Base!F8</f>
        <v>Pobreza</v>
      </c>
      <c r="C12" s="186" t="str">
        <f>+Base!G8</f>
        <v>% población pobre según ingresos</v>
      </c>
      <c r="D12" s="189">
        <f>+Base!AI8</f>
        <v>0.30199999999999999</v>
      </c>
      <c r="E12" s="189">
        <f>+Base!AQ8</f>
        <v>0.17299999999999999</v>
      </c>
      <c r="F12" s="188" t="str">
        <f>+IF(E12&lt;D12,"Mejor que el promedio","Peor que el promedio ")</f>
        <v>Mejor que el promedio</v>
      </c>
    </row>
    <row r="13" spans="1:6">
      <c r="A13" s="185"/>
      <c r="B13" s="186" t="str">
        <f>+Base!F18</f>
        <v>Tasa bruta de asistencia superior</v>
      </c>
      <c r="C13" s="186" t="str">
        <f>+Base!G18</f>
        <v>(Matrícula superior) / (población relevante)</v>
      </c>
      <c r="D13" s="189">
        <f>+Base!AI18</f>
        <v>0.29979166666666668</v>
      </c>
      <c r="E13" s="189">
        <f>+Base!AQ18</f>
        <v>0.30199999999999999</v>
      </c>
      <c r="F13" s="188" t="str">
        <f t="shared" si="0"/>
        <v>Mejor que el promedio</v>
      </c>
    </row>
    <row r="14" spans="1:6">
      <c r="A14" s="190" t="str">
        <f>+Base!B9</f>
        <v>Desempeño Económico</v>
      </c>
      <c r="B14" s="180" t="str">
        <f>+Base!F9</f>
        <v xml:space="preserve">Producción </v>
      </c>
      <c r="C14" s="180" t="str">
        <f>+Base!G9</f>
        <v>(PIB provincial ) / (población)</v>
      </c>
      <c r="D14" s="191">
        <f>+Base!AI9</f>
        <v>11007.152584663281</v>
      </c>
      <c r="E14" s="191">
        <f>+Base!AQ9</f>
        <v>12303.136611034963</v>
      </c>
      <c r="F14" s="157" t="str">
        <f t="shared" si="0"/>
        <v>Mejor que el promedio</v>
      </c>
    </row>
    <row r="15" spans="1:6">
      <c r="A15" s="190"/>
      <c r="B15" s="180" t="str">
        <f>+Base!F10</f>
        <v>Valor agregado</v>
      </c>
      <c r="C15" s="180" t="str">
        <f>+Base!G10</f>
        <v>(Valor agregado provincial) / (población)</v>
      </c>
      <c r="D15" s="191">
        <f>+Base!AI10</f>
        <v>6096.00138604526</v>
      </c>
      <c r="E15" s="191">
        <f>+Base!AQ10</f>
        <v>6695.7418078753826</v>
      </c>
      <c r="F15" s="157" t="str">
        <f t="shared" si="0"/>
        <v>Mejor que el promedio</v>
      </c>
    </row>
    <row r="16" spans="1:6">
      <c r="A16" s="190"/>
      <c r="B16" s="180" t="str">
        <f>+Base!F11</f>
        <v>Impuestos pagados</v>
      </c>
      <c r="C16" s="180" t="str">
        <f>+Base!G11</f>
        <v xml:space="preserve">(IVA +IR + otros) / (población*1000) </v>
      </c>
      <c r="D16" s="192">
        <f>+Base!AI11</f>
        <v>365311.57585112256</v>
      </c>
      <c r="E16" s="192">
        <f>+Base!AQ11</f>
        <v>940766.33758270182</v>
      </c>
      <c r="F16" s="157" t="str">
        <f t="shared" si="0"/>
        <v>Mejor que el promedio</v>
      </c>
    </row>
    <row r="17" spans="1:6" ht="30">
      <c r="A17" s="190"/>
      <c r="B17" s="180" t="str">
        <f>+Base!F12</f>
        <v>Valor Agregado Per Cápita (No Petrolero)</v>
      </c>
      <c r="C17" s="180" t="str">
        <f>+Base!G12</f>
        <v>Valor Agregado (No Petrolero) / (Población*1.000)</v>
      </c>
      <c r="D17" s="191">
        <f>+Base!AI12</f>
        <v>5.2070833333333342</v>
      </c>
      <c r="E17" s="191">
        <f>+Base!AQ12</f>
        <v>7.18</v>
      </c>
      <c r="F17" s="157" t="str">
        <f t="shared" si="0"/>
        <v>Mejor que el promedio</v>
      </c>
    </row>
    <row r="18" spans="1:6" ht="30">
      <c r="A18" s="190"/>
      <c r="B18" s="180" t="str">
        <f>+Base!F13</f>
        <v>Producción Per Cápita (No petrolera)</v>
      </c>
      <c r="C18" s="180" t="str">
        <f>+Base!G13</f>
        <v>Producción (No Petrolera) / Población</v>
      </c>
      <c r="D18" s="191">
        <f>+Base!AI13</f>
        <v>8.8237500000000022</v>
      </c>
      <c r="E18" s="191">
        <f>+Base!AQ13</f>
        <v>13.2</v>
      </c>
      <c r="F18" s="157" t="str">
        <f t="shared" si="0"/>
        <v>Mejor que el promedio</v>
      </c>
    </row>
    <row r="19" spans="1:6">
      <c r="A19" s="190"/>
      <c r="B19" s="180" t="str">
        <f>+Base!F14</f>
        <v xml:space="preserve">Índice de concentración </v>
      </c>
      <c r="C19" s="180" t="str">
        <f>+Base!G14</f>
        <v>Índice de concentración Hirschman-Herfindahl (HH)*</v>
      </c>
      <c r="D19" s="193">
        <f>+Base!AI14</f>
        <v>0.25250833333333339</v>
      </c>
      <c r="E19" s="193">
        <f>+Base!AQ14</f>
        <v>0.2296</v>
      </c>
      <c r="F19" s="157" t="str">
        <f>+IF(E19&lt;D19,"Mejor que el promedio","Peor que el promedio ")</f>
        <v>Mejor que el promedio</v>
      </c>
    </row>
    <row r="20" spans="1:6" ht="30">
      <c r="A20" s="190"/>
      <c r="B20" s="180" t="str">
        <f>+Base!F15</f>
        <v>Productividad Media del trabajo según Producción Total</v>
      </c>
      <c r="C20" s="180" t="str">
        <f>+Base!G15</f>
        <v>Producción Total / Total Personas Ocupadas</v>
      </c>
      <c r="D20" s="192">
        <f>+Base!AI15</f>
        <v>82527.514583333323</v>
      </c>
      <c r="E20" s="192">
        <f>+Base!AQ15</f>
        <v>119582</v>
      </c>
      <c r="F20" s="157" t="str">
        <f t="shared" si="0"/>
        <v>Mejor que el promedio</v>
      </c>
    </row>
    <row r="21" spans="1:6" ht="30">
      <c r="A21" s="190"/>
      <c r="B21" s="180" t="str">
        <f>+Base!F16</f>
        <v>Productividad Media del trabajo según Valor Agregado</v>
      </c>
      <c r="C21" s="180" t="str">
        <f>+Base!G16</f>
        <v>Valor Agregado Total / Total Personas Ocupadas</v>
      </c>
      <c r="D21" s="192">
        <f>+Base!AI16</f>
        <v>21003.063750000001</v>
      </c>
      <c r="E21" s="192">
        <f>+Base!AQ16</f>
        <v>34799.839999999997</v>
      </c>
      <c r="F21" s="157" t="str">
        <f t="shared" si="0"/>
        <v>Mejor que el promedio</v>
      </c>
    </row>
    <row r="22" spans="1:6">
      <c r="A22" s="190"/>
      <c r="B22" s="180" t="str">
        <f>+Base!F17</f>
        <v>Coeficiente de Gini</v>
      </c>
      <c r="C22" s="180" t="str">
        <f>+Base!G17</f>
        <v>Coeficiente de Gini</v>
      </c>
      <c r="D22" s="191">
        <f>+Base!AI17</f>
        <v>0.38729166666666659</v>
      </c>
      <c r="E22" s="191">
        <f>+Base!AQ17</f>
        <v>0.38700000000000001</v>
      </c>
      <c r="F22" s="157" t="str">
        <f>+IF(E22&lt;D22,"Mejor que el promedio","Peor que el promedio ")</f>
        <v>Mejor que el promedio</v>
      </c>
    </row>
    <row r="23" spans="1:6">
      <c r="A23" s="185" t="str">
        <f>+Base!B19</f>
        <v>Empleo</v>
      </c>
      <c r="B23" s="186" t="str">
        <f>+Base!F19</f>
        <v>Tasa de empleo rural</v>
      </c>
      <c r="C23" s="186" t="str">
        <f>+Base!G19</f>
        <v>(Empleados) / (PEA Rural)</v>
      </c>
      <c r="D23" s="194">
        <f>+Base!AI19</f>
        <v>0.97611666666666685</v>
      </c>
      <c r="E23" s="194">
        <f>+Base!AQ19</f>
        <v>0.96</v>
      </c>
      <c r="F23" s="188" t="str">
        <f t="shared" si="0"/>
        <v xml:space="preserve">Peor que el promedio </v>
      </c>
    </row>
    <row r="24" spans="1:6">
      <c r="A24" s="185"/>
      <c r="B24" s="186" t="str">
        <f>+Base!F20</f>
        <v>Tasa de empleo urbano</v>
      </c>
      <c r="C24" s="186" t="str">
        <f>+Base!G20</f>
        <v>(Empleados) / (PEA Urbano)</v>
      </c>
      <c r="D24" s="194">
        <f>+Base!AI20</f>
        <v>0.94042916666666676</v>
      </c>
      <c r="E24" s="194">
        <f>+Base!AQ20</f>
        <v>0.93289999999999995</v>
      </c>
      <c r="F24" s="188" t="str">
        <f t="shared" si="0"/>
        <v xml:space="preserve">Peor que el promedio </v>
      </c>
    </row>
    <row r="25" spans="1:6">
      <c r="A25" s="185"/>
      <c r="B25" s="186" t="str">
        <f>+Base!F21</f>
        <v>Tasa de subempleo rural</v>
      </c>
      <c r="C25" s="186" t="str">
        <f>+Base!G21</f>
        <v>(Subempleados) / (PEA Rural)</v>
      </c>
      <c r="D25" s="189">
        <f>+Base!AI21</f>
        <v>0.21432916666666671</v>
      </c>
      <c r="E25" s="189">
        <f>+Base!AQ21</f>
        <v>0.35720000000000002</v>
      </c>
      <c r="F25" s="188" t="str">
        <f>+IF(E25&lt;D25,"Mejor que el promedio","Peor que el promedio ")</f>
        <v xml:space="preserve">Peor que el promedio </v>
      </c>
    </row>
    <row r="26" spans="1:6">
      <c r="A26" s="185"/>
      <c r="B26" s="186" t="str">
        <f>+Base!F22</f>
        <v>Tasa de subempleo urbano</v>
      </c>
      <c r="C26" s="186" t="str">
        <f>+Base!G22</f>
        <v>(Subempleados) / (PEA Urbano)</v>
      </c>
      <c r="D26" s="189">
        <f>+Base!AI22</f>
        <v>0.17882855300657577</v>
      </c>
      <c r="E26" s="189">
        <f>+Base!AQ22</f>
        <v>0.21560000000000001</v>
      </c>
      <c r="F26" s="188" t="str">
        <f>+IF(E26&lt;D26,"Mejor que el promedio","Peor que el promedio ")</f>
        <v xml:space="preserve">Peor que el promedio </v>
      </c>
    </row>
    <row r="27" spans="1:6">
      <c r="A27" s="190" t="str">
        <f>+Base!B23</f>
        <v>Gestión Empresarial</v>
      </c>
      <c r="B27" s="180" t="str">
        <f>+Base!F23</f>
        <v>Empresas registradas</v>
      </c>
      <c r="C27" s="180" t="str">
        <f>+Base!G23</f>
        <v>(Compañías) / (población/1000000)</v>
      </c>
      <c r="D27" s="192">
        <f>+Base!AI23</f>
        <v>3200.2725499076209</v>
      </c>
      <c r="E27" s="192">
        <f>+Base!AQ23</f>
        <v>4567.57</v>
      </c>
      <c r="F27" s="157" t="str">
        <f t="shared" si="0"/>
        <v>Mejor que el promedio</v>
      </c>
    </row>
    <row r="28" spans="1:6">
      <c r="A28" s="190"/>
      <c r="B28" s="180" t="str">
        <f>+Base!F24</f>
        <v>PYMES</v>
      </c>
      <c r="C28" s="180" t="str">
        <f>+Base!G24</f>
        <v>(PYMES) / (Empresas)</v>
      </c>
      <c r="D28" s="193">
        <f>+Base!AI24</f>
        <v>7.1200000000000013E-2</v>
      </c>
      <c r="E28" s="193">
        <f>+Base!AQ24</f>
        <v>0.1191</v>
      </c>
      <c r="F28" s="157" t="str">
        <f t="shared" si="0"/>
        <v>Mejor que el promedio</v>
      </c>
    </row>
    <row r="29" spans="1:6">
      <c r="A29" s="190"/>
      <c r="B29" s="180" t="str">
        <f>+Base!F25</f>
        <v>Activos empresariales</v>
      </c>
      <c r="C29" s="180" t="str">
        <f>+Base!G25</f>
        <v>(Activos) / (Activos totales compañías)</v>
      </c>
      <c r="D29" s="193">
        <f>+Base!AI25</f>
        <v>4.1668326819310646E-2</v>
      </c>
      <c r="E29" s="193">
        <f>+Base!AQ25</f>
        <v>0.40889999999999999</v>
      </c>
      <c r="F29" s="157" t="str">
        <f t="shared" si="0"/>
        <v>Mejor que el promedio</v>
      </c>
    </row>
    <row r="30" spans="1:6">
      <c r="A30" s="190"/>
      <c r="B30" s="180" t="str">
        <f>+Base!F26</f>
        <v>Industrias</v>
      </c>
      <c r="C30" s="180" t="str">
        <f>+Base!G26</f>
        <v>(Industrias) / (empresas)</v>
      </c>
      <c r="D30" s="193">
        <f>+Base!AI26</f>
        <v>6.2629166666666666E-2</v>
      </c>
      <c r="E30" s="193">
        <f>+Base!AQ26</f>
        <v>7.2499999999999995E-2</v>
      </c>
      <c r="F30" s="157" t="str">
        <f t="shared" si="0"/>
        <v>Mejor que el promedio</v>
      </c>
    </row>
    <row r="31" spans="1:6" ht="30" customHeight="1">
      <c r="A31" s="185" t="str">
        <f>+Base!B27</f>
        <v>Gestión, Gobiernos e Instituciones</v>
      </c>
      <c r="B31" s="186" t="str">
        <f>+Base!F27</f>
        <v>Ingresos propios</v>
      </c>
      <c r="C31" s="186" t="str">
        <f>+Base!G27</f>
        <v>(Ingresos Propios) / (Ingresos Totales)</v>
      </c>
      <c r="D31" s="189">
        <f>+Base!AI27</f>
        <v>0.20840833333333339</v>
      </c>
      <c r="E31" s="189">
        <f>+Base!AQ27</f>
        <v>0.36699999999999999</v>
      </c>
      <c r="F31" s="188" t="str">
        <f t="shared" si="0"/>
        <v>Mejor que el promedio</v>
      </c>
    </row>
    <row r="32" spans="1:6">
      <c r="A32" s="185"/>
      <c r="B32" s="186" t="str">
        <f>+Base!F28</f>
        <v>Endeudameinto</v>
      </c>
      <c r="C32" s="186" t="str">
        <f>+Base!G28</f>
        <v>(Pasivos Totales) / (Ingresos Totales)</v>
      </c>
      <c r="D32" s="189">
        <f>+Base!AI28</f>
        <v>0.24044166666666658</v>
      </c>
      <c r="E32" s="189">
        <f>+Base!AQ28</f>
        <v>0.32169999999999999</v>
      </c>
      <c r="F32" s="188" t="str">
        <f>+IF(E32&lt;D32,"Mejor que el promedio","Peor que el promedio ")</f>
        <v xml:space="preserve">Peor que el promedio </v>
      </c>
    </row>
    <row r="33" spans="1:6">
      <c r="A33" s="185"/>
      <c r="B33" s="186" t="str">
        <f>+Base!F29</f>
        <v xml:space="preserve">Inversión </v>
      </c>
      <c r="C33" s="186" t="str">
        <f>+Base!G29</f>
        <v>(Gasto Inversión) / (Gasto Total)</v>
      </c>
      <c r="D33" s="189">
        <f>+Base!AI29</f>
        <v>0.75822499999999993</v>
      </c>
      <c r="E33" s="189">
        <f>+Base!AQ29</f>
        <v>0.7984</v>
      </c>
      <c r="F33" s="188" t="str">
        <f t="shared" si="0"/>
        <v>Mejor que el promedio</v>
      </c>
    </row>
    <row r="34" spans="1:6">
      <c r="A34" s="185"/>
      <c r="B34" s="186" t="str">
        <f>+Base!F30</f>
        <v>Gasto social</v>
      </c>
      <c r="C34" s="186" t="str">
        <f>+Base!G30</f>
        <v>(Gasto público salud+educ) / población</v>
      </c>
      <c r="D34" s="195">
        <f>+Base!AI30</f>
        <v>75.496371046448431</v>
      </c>
      <c r="E34" s="195">
        <f>+Base!AQ30</f>
        <v>56.896839999999997</v>
      </c>
      <c r="F34" s="188" t="str">
        <f t="shared" si="0"/>
        <v xml:space="preserve">Peor que el promedio </v>
      </c>
    </row>
    <row r="35" spans="1:6">
      <c r="A35" s="185"/>
      <c r="B35" s="186" t="str">
        <f>+Base!F31</f>
        <v>Gobiernos Subnacionales</v>
      </c>
      <c r="C35" s="186" t="str">
        <f>+Base!G31</f>
        <v>(No.Gobiernos) / (población/1000000)</v>
      </c>
      <c r="D35" s="196">
        <f>+Base!AI31</f>
        <v>199.52654723468973</v>
      </c>
      <c r="E35" s="196">
        <f>+Base!AQ31</f>
        <v>31.54589</v>
      </c>
      <c r="F35" s="188" t="str">
        <f t="shared" si="0"/>
        <v xml:space="preserve">Peor que el promedio </v>
      </c>
    </row>
    <row r="36" spans="1:6" ht="30" customHeight="1">
      <c r="A36" s="190" t="str">
        <f>+Base!B32</f>
        <v>Infraestructura y Localización</v>
      </c>
      <c r="B36" s="180" t="str">
        <f>+Base!F32</f>
        <v>Km vias asfaltadas</v>
      </c>
      <c r="C36" s="180" t="str">
        <f>+Base!G32</f>
        <v>(Km) / (superficie km2 )</v>
      </c>
      <c r="D36" s="193">
        <f>+Base!AI32</f>
        <v>5.1016666666666682E-2</v>
      </c>
      <c r="E36" s="193">
        <f>+Base!AQ32</f>
        <v>5.33E-2</v>
      </c>
      <c r="F36" s="157" t="str">
        <f t="shared" si="0"/>
        <v>Mejor que el promedio</v>
      </c>
    </row>
    <row r="37" spans="1:6" ht="30">
      <c r="A37" s="190"/>
      <c r="B37" s="180" t="str">
        <f>+Base!F33</f>
        <v>Distancia a aeropuertos int´I</v>
      </c>
      <c r="C37" s="180" t="str">
        <f>+Base!G33</f>
        <v>(Distancia de capital de provincia a ciudad con arpto int. más cercano)</v>
      </c>
      <c r="D37" s="192">
        <f>+Base!AI33</f>
        <v>241.58749999999998</v>
      </c>
      <c r="E37" s="192">
        <f>+Base!AQ33</f>
        <v>8.8000000000000007</v>
      </c>
      <c r="F37" s="157" t="str">
        <f t="shared" si="0"/>
        <v xml:space="preserve">Peor que el promedio </v>
      </c>
    </row>
    <row r="38" spans="1:6" ht="30">
      <c r="A38" s="190"/>
      <c r="B38" s="180" t="str">
        <f>+Base!F34</f>
        <v>Distancia a puertos int´I</v>
      </c>
      <c r="C38" s="180" t="str">
        <f>+Base!G34</f>
        <v>(Distancia a capital de provincia a ciudad con puerto más cercano)</v>
      </c>
      <c r="D38" s="192">
        <f>+Base!AI34</f>
        <v>275.92916666666667</v>
      </c>
      <c r="E38" s="192">
        <f>+Base!AQ34</f>
        <v>15.6</v>
      </c>
      <c r="F38" s="157" t="str">
        <f t="shared" si="0"/>
        <v xml:space="preserve">Peor que el promedio </v>
      </c>
    </row>
    <row r="39" spans="1:6">
      <c r="A39" s="190"/>
      <c r="B39" s="180" t="str">
        <f>+Base!F35</f>
        <v>Cobertura teléfono fijo</v>
      </c>
      <c r="C39" s="180" t="str">
        <f>+Base!G35</f>
        <v>(Líneas fijas) / (población)</v>
      </c>
      <c r="D39" s="193">
        <f>+Base!AI35</f>
        <v>0.14440199855797395</v>
      </c>
      <c r="E39" s="193">
        <f>+Base!AQ35</f>
        <v>0.15959999999999999</v>
      </c>
      <c r="F39" s="157" t="str">
        <f t="shared" si="0"/>
        <v>Mejor que el promedio</v>
      </c>
    </row>
    <row r="40" spans="1:6" ht="30" customHeight="1">
      <c r="A40" s="185" t="str">
        <f>+Base!B36</f>
        <v>Habilitantes de Innovación, Ciencia y Tecnología</v>
      </c>
      <c r="B40" s="186" t="str">
        <f>+Base!F36</f>
        <v>Cobertura teléfono celular</v>
      </c>
      <c r="C40" s="186" t="str">
        <f>+Base!G36</f>
        <v>(Líneas móviles) / (población)</v>
      </c>
      <c r="D40" s="197">
        <f>+Base!AI36</f>
        <v>0.46125000000000016</v>
      </c>
      <c r="E40" s="197">
        <f>+Base!AQ36</f>
        <v>0.53</v>
      </c>
      <c r="F40" s="188" t="str">
        <f t="shared" si="0"/>
        <v>Mejor que el promedio</v>
      </c>
    </row>
    <row r="41" spans="1:6">
      <c r="A41" s="185"/>
      <c r="B41" s="186" t="str">
        <f>+Base!F37</f>
        <v>Cobertura internet</v>
      </c>
      <c r="C41" s="186" t="str">
        <f>+Base!G37</f>
        <v>(Cuentas internet) /(población)</v>
      </c>
      <c r="D41" s="189">
        <f>+Base!AI37</f>
        <v>8.1345833333333326E-2</v>
      </c>
      <c r="E41" s="189">
        <f>+Base!AQ37</f>
        <v>0.109</v>
      </c>
      <c r="F41" s="188" t="str">
        <f t="shared" si="0"/>
        <v>Mejor que el promedio</v>
      </c>
    </row>
    <row r="42" spans="1:6">
      <c r="A42" s="185"/>
      <c r="B42" s="186" t="str">
        <f>+Base!F38</f>
        <v>Personas con Postgrado</v>
      </c>
      <c r="C42" s="186" t="str">
        <f>+Base!G38</f>
        <v>(Personas) / (población*/1000000)</v>
      </c>
      <c r="D42" s="198">
        <f>+Base!AI38</f>
        <v>5556.3500896783016</v>
      </c>
      <c r="E42" s="198">
        <f>+Base!AQ38</f>
        <v>5151.3064199999999</v>
      </c>
      <c r="F42" s="188" t="str">
        <f t="shared" si="0"/>
        <v xml:space="preserve">Peor que el promedio </v>
      </c>
    </row>
    <row r="43" spans="1:6" ht="30">
      <c r="A43" s="185"/>
      <c r="B43" s="186" t="str">
        <f>+Base!F39</f>
        <v>Inversión de I&amp;D de empresas</v>
      </c>
      <c r="C43" s="186" t="str">
        <f>+Base!G39</f>
        <v>(Gastos de Exploración, Investigación y Otros) / (empresas)</v>
      </c>
      <c r="D43" s="199">
        <f>+Base!AI39</f>
        <v>1598.9336429166667</v>
      </c>
      <c r="E43" s="199">
        <f>+Base!AQ39</f>
        <v>473.09113000000002</v>
      </c>
      <c r="F43" s="188" t="str">
        <f t="shared" si="0"/>
        <v xml:space="preserve">Peor que el promedio </v>
      </c>
    </row>
    <row r="44" spans="1:6">
      <c r="A44" s="185"/>
      <c r="B44" s="186" t="str">
        <f>+Base!F40</f>
        <v>Número de Carreras Universitarias</v>
      </c>
      <c r="C44" s="186" t="str">
        <f>+Base!G40</f>
        <v>(No.Carreras ofertadas) / (población/1000000)</v>
      </c>
      <c r="D44" s="196">
        <f>+Base!AI40</f>
        <v>102.57459831891309</v>
      </c>
      <c r="E44" s="196">
        <f>+Base!AQ40</f>
        <v>87.23124</v>
      </c>
      <c r="F44" s="188" t="str">
        <f t="shared" si="0"/>
        <v xml:space="preserve">Peor que el promedio </v>
      </c>
    </row>
    <row r="45" spans="1:6" ht="30">
      <c r="A45" s="185"/>
      <c r="B45" s="186" t="str">
        <f>+Base!F41</f>
        <v>Universidades e instit. Superiores</v>
      </c>
      <c r="C45" s="186" t="str">
        <f>+Base!G41</f>
        <v>No. De Universidades e Institutos / (población / 1000000)</v>
      </c>
      <c r="D45" s="196">
        <f>+Base!AI41</f>
        <v>25.655427970010361</v>
      </c>
      <c r="E45" s="196">
        <f>+Base!AQ41</f>
        <v>12.892670000000001</v>
      </c>
      <c r="F45" s="188" t="str">
        <f t="shared" si="0"/>
        <v xml:space="preserve">Peor que el promedio </v>
      </c>
    </row>
    <row r="46" spans="1:6">
      <c r="A46" s="185"/>
      <c r="B46" s="186" t="str">
        <f>+Base!F42</f>
        <v xml:space="preserve">Investigadores por provincia </v>
      </c>
      <c r="C46" s="186" t="str">
        <f>+Base!G42</f>
        <v>Investigadores por provincia</v>
      </c>
      <c r="D46" s="200">
        <f>+Base!AI42</f>
        <v>809.41357578876205</v>
      </c>
      <c r="E46" s="200">
        <f>+Base!AQ42</f>
        <v>444.93418293268684</v>
      </c>
      <c r="F46" s="188" t="str">
        <f t="shared" si="0"/>
        <v xml:space="preserve">Peor que el promedio </v>
      </c>
    </row>
    <row r="47" spans="1:6" ht="30" customHeight="1">
      <c r="A47" s="190" t="str">
        <f>+Base!B43</f>
        <v>Internacionalización y Apertura</v>
      </c>
      <c r="B47" s="180" t="str">
        <f>+Base!F43</f>
        <v>Empresas exportadoras</v>
      </c>
      <c r="C47" s="180" t="str">
        <f>+Base!G43</f>
        <v>(Empresas Exportadoras) / (empresas)</v>
      </c>
      <c r="D47" s="193">
        <f>+Base!AI43</f>
        <v>1.7254166666666668E-2</v>
      </c>
      <c r="E47" s="193">
        <f>+Base!AQ43</f>
        <v>1.6500000000000001E-2</v>
      </c>
      <c r="F47" s="157" t="str">
        <f t="shared" si="0"/>
        <v xml:space="preserve">Peor que el promedio </v>
      </c>
    </row>
    <row r="48" spans="1:6">
      <c r="A48" s="190"/>
      <c r="B48" s="180" t="str">
        <f>+Base!F44</f>
        <v>Exportaciones (No petroleros)</v>
      </c>
      <c r="C48" s="180" t="str">
        <f>+Base!G44</f>
        <v>(Exportaciones) / (Exportaciones Totales)</v>
      </c>
      <c r="D48" s="193">
        <f>+Base!AI44</f>
        <v>4.1663494245910808E-2</v>
      </c>
      <c r="E48" s="193">
        <f>+Base!AQ44</f>
        <v>0.39389999999999997</v>
      </c>
      <c r="F48" s="157" t="str">
        <f t="shared" si="0"/>
        <v>Mejor que el promedio</v>
      </c>
    </row>
    <row r="49" spans="1:6">
      <c r="A49" s="190"/>
      <c r="B49" s="180" t="str">
        <f>+Base!F45</f>
        <v>Inversión Extranjera</v>
      </c>
      <c r="C49" s="180" t="str">
        <f>+Base!G45</f>
        <v>(Inversión Extranjera) / (población)</v>
      </c>
      <c r="D49" s="201">
        <f>+Base!AI45</f>
        <v>3.2155</v>
      </c>
      <c r="E49" s="201">
        <f>+Base!AQ45</f>
        <v>5.68</v>
      </c>
      <c r="F49" s="157" t="str">
        <f t="shared" si="0"/>
        <v>Mejor que el promedio</v>
      </c>
    </row>
    <row r="50" spans="1:6" ht="30">
      <c r="A50" s="190"/>
      <c r="B50" s="180" t="str">
        <f>+Base!F46</f>
        <v>Exportación (No petroleros) per cápita</v>
      </c>
      <c r="C50" s="180" t="str">
        <f>+Base!G46</f>
        <v>(Exportaciones)  / (población)</v>
      </c>
      <c r="D50" s="202">
        <f>+Base!AI46</f>
        <v>536.87406577311208</v>
      </c>
      <c r="E50" s="202">
        <f>+Base!AQ46</f>
        <v>1962.41</v>
      </c>
      <c r="F50" s="157" t="str">
        <f t="shared" si="0"/>
        <v>Mejor que el promedio</v>
      </c>
    </row>
    <row r="51" spans="1:6">
      <c r="A51" s="185" t="str">
        <f>+Base!B47</f>
        <v>Mercados financieros</v>
      </c>
      <c r="B51" s="186" t="str">
        <f>+Base!F47</f>
        <v>Depósitos en sistema financiero</v>
      </c>
      <c r="C51" s="186" t="str">
        <f>+Base!G47</f>
        <v>(Captaciones) / (captaciones totales nacionales)</v>
      </c>
      <c r="D51" s="189">
        <f>+Base!AI47</f>
        <v>4.1670833333333331E-2</v>
      </c>
      <c r="E51" s="189">
        <f>+Base!AQ47</f>
        <v>0.26369999999999999</v>
      </c>
      <c r="F51" s="188" t="str">
        <f t="shared" si="0"/>
        <v>Mejor que el promedio</v>
      </c>
    </row>
    <row r="52" spans="1:6">
      <c r="A52" s="185"/>
      <c r="B52" s="186" t="str">
        <f>+Base!F48</f>
        <v>Cartera a sistema financiero</v>
      </c>
      <c r="C52" s="186" t="str">
        <f>+Base!G48</f>
        <v>(Cartera) / (cartera total nacional)</v>
      </c>
      <c r="D52" s="189">
        <f>+Base!AI48</f>
        <v>4.1662500000000005E-2</v>
      </c>
      <c r="E52" s="189">
        <f>+Base!AQ48</f>
        <v>0.35849999999999999</v>
      </c>
      <c r="F52" s="188" t="str">
        <f t="shared" si="0"/>
        <v>Mejor que el promedio</v>
      </c>
    </row>
    <row r="53" spans="1:6" ht="30">
      <c r="A53" s="185"/>
      <c r="B53" s="186" t="str">
        <f>+Base!F49</f>
        <v>Depósitos en sistema financiero para población</v>
      </c>
      <c r="C53" s="186" t="str">
        <f>+Base!G49</f>
        <v>(Captaciones) / (Población)</v>
      </c>
      <c r="D53" s="203">
        <f>+Base!AI49</f>
        <v>1005.0392851119377</v>
      </c>
      <c r="E53" s="203">
        <f>+Base!AQ49</f>
        <v>2025.370596096594</v>
      </c>
      <c r="F53" s="188" t="str">
        <f t="shared" si="0"/>
        <v>Mejor que el promedio</v>
      </c>
    </row>
    <row r="54" spans="1:6">
      <c r="A54" s="185"/>
      <c r="B54" s="186" t="str">
        <f>+Base!F50</f>
        <v>Cartera productiva en la provincia</v>
      </c>
      <c r="C54" s="186" t="str">
        <f>+Base!G50</f>
        <v>(Cartera comercial) / (créditos totales provinciales)</v>
      </c>
      <c r="D54" s="189">
        <f>+Base!AI50</f>
        <v>0.45309583333333331</v>
      </c>
      <c r="E54" s="189">
        <f>+Base!AQ50</f>
        <v>0.84699999999999998</v>
      </c>
      <c r="F54" s="188" t="str">
        <f t="shared" si="0"/>
        <v>Mejor que el promedio</v>
      </c>
    </row>
    <row r="55" spans="1:6">
      <c r="A55" s="185"/>
      <c r="B55" s="186" t="str">
        <f>+Base!F51</f>
        <v>Cartera productiva per cápita</v>
      </c>
      <c r="C55" s="186" t="str">
        <f>+Base!G51</f>
        <v>(Cartera comercial) / (población)</v>
      </c>
      <c r="D55" s="204">
        <f>+Base!AI51</f>
        <v>36.462415935200646</v>
      </c>
      <c r="E55" s="204">
        <f>+Base!AQ51</f>
        <v>137.87473429446797</v>
      </c>
      <c r="F55" s="188" t="str">
        <f t="shared" si="0"/>
        <v>Mejor que el promedio</v>
      </c>
    </row>
    <row r="56" spans="1:6">
      <c r="A56" s="185"/>
      <c r="B56" s="186" t="str">
        <f>+Base!F52</f>
        <v>Morosidad en provincia</v>
      </c>
      <c r="C56" s="186" t="str">
        <f>+Base!G52</f>
        <v>(Créditos vencidos) / (Créditos Totales Provinciales)</v>
      </c>
      <c r="D56" s="194">
        <f>+Base!AI52</f>
        <v>2.1169565217391308E-2</v>
      </c>
      <c r="E56" s="194">
        <f>+Base!AQ52</f>
        <v>0</v>
      </c>
      <c r="F56" s="188" t="str">
        <f t="shared" si="0"/>
        <v xml:space="preserve">Peor que el promedio </v>
      </c>
    </row>
    <row r="57" spans="1:6">
      <c r="A57" s="185"/>
      <c r="B57" s="186" t="str">
        <f>+Base!F53</f>
        <v>Microcrédito en provincia</v>
      </c>
      <c r="C57" s="186" t="str">
        <f>+Base!G53</f>
        <v>(Microcrédito) / (Créditos Totales Provinciales)</v>
      </c>
      <c r="D57" s="189">
        <f>+Base!AI53</f>
        <v>0.2321458333333333</v>
      </c>
      <c r="E57" s="189">
        <f>+Base!AQ53</f>
        <v>3.44E-2</v>
      </c>
      <c r="F57" s="188" t="str">
        <f t="shared" si="0"/>
        <v xml:space="preserve">Peor que el promedio </v>
      </c>
    </row>
    <row r="58" spans="1:6">
      <c r="A58" s="185"/>
      <c r="B58" s="186" t="str">
        <f>+Base!F54</f>
        <v>Microcrédito para población</v>
      </c>
      <c r="C58" s="186" t="str">
        <f>+Base!G54</f>
        <v>(Microcrédito) / (Población)</v>
      </c>
      <c r="D58" s="195">
        <f>+Base!AI54</f>
        <v>7.4003249999999996</v>
      </c>
      <c r="E58" s="195">
        <f>+Base!AQ54</f>
        <v>6.01</v>
      </c>
      <c r="F58" s="188" t="str">
        <f t="shared" si="0"/>
        <v xml:space="preserve">Peor que el promedio </v>
      </c>
    </row>
    <row r="59" spans="1:6">
      <c r="A59" s="185"/>
      <c r="B59" s="186" t="str">
        <f>+Base!F55</f>
        <v>No. Sucursales bancarias</v>
      </c>
      <c r="C59" s="186" t="str">
        <f>+Base!G55</f>
        <v>(Sucursales) / (población/1000000)</v>
      </c>
      <c r="D59" s="196">
        <f>+Base!AI55</f>
        <v>84.449334394461729</v>
      </c>
      <c r="E59" s="196">
        <f>+Base!AQ55</f>
        <v>93.814729999999997</v>
      </c>
      <c r="F59" s="188" t="str">
        <f t="shared" si="0"/>
        <v>Mejor que el promedio</v>
      </c>
    </row>
    <row r="60" spans="1:6" ht="30" customHeight="1">
      <c r="A60" s="190" t="str">
        <f>+Base!B56</f>
        <v>Recursos Naturales y Ambiente</v>
      </c>
      <c r="B60" s="180" t="str">
        <f>+Base!F56</f>
        <v>Superficie cultivada</v>
      </c>
      <c r="C60" s="180" t="str">
        <f>+Base!G56</f>
        <v>(Hectáreas de Cultivos Transitorios + Cultivos Permanentes+pastos cultivados) / (Superficie en Hectáreas)</v>
      </c>
      <c r="D60" s="193">
        <f>+Base!AI56</f>
        <v>0.32416666666666666</v>
      </c>
      <c r="E60" s="193">
        <f>+Base!AQ56</f>
        <v>0.64</v>
      </c>
      <c r="F60" s="157" t="str">
        <f t="shared" si="0"/>
        <v>Mejor que el promedio</v>
      </c>
    </row>
    <row r="61" spans="1:6" ht="14" customHeight="1">
      <c r="A61" s="190"/>
      <c r="B61" s="180" t="str">
        <f>+Base!F57</f>
        <v>Bosques y páramos</v>
      </c>
      <c r="C61" s="180" t="str">
        <f>+Base!G57</f>
        <v>(montes, bosques y páramos) / (área total por provincia)</v>
      </c>
      <c r="D61" s="193">
        <f>+Base!AI57</f>
        <v>0.52818823746783872</v>
      </c>
      <c r="E61" s="193">
        <f>+Base!AQ57</f>
        <v>0.22266517468931005</v>
      </c>
      <c r="F61" s="157" t="str">
        <f t="shared" si="0"/>
        <v xml:space="preserve">Peor que el promedio </v>
      </c>
    </row>
    <row r="62" spans="1:6">
      <c r="A62" s="185" t="str">
        <f>+Base!B58</f>
        <v>Seguridad Jurídica</v>
      </c>
      <c r="B62" s="186" t="str">
        <f>+Base!F58</f>
        <v>Delitos a personas y propiedad</v>
      </c>
      <c r="C62" s="186" t="str">
        <f>+Base!G58</f>
        <v>(Denuncia Delitos) / (población)</v>
      </c>
      <c r="D62" s="189">
        <f>+Base!AI58</f>
        <v>2.2691666666666666E-2</v>
      </c>
      <c r="E62" s="189">
        <f>+Base!AQ58</f>
        <v>3.4500000000000003E-2</v>
      </c>
      <c r="F62" s="188" t="str">
        <f>+IF(E62&lt;D62,"Mejor que el promedio","Peor que el promedio ")</f>
        <v xml:space="preserve">Peor que el promedio </v>
      </c>
    </row>
    <row r="63" spans="1:6">
      <c r="A63" s="185"/>
      <c r="B63" s="186" t="str">
        <f>+Base!F59</f>
        <v>Efectividad detenciones</v>
      </c>
      <c r="C63" s="186" t="str">
        <f>+Base!G59</f>
        <v>(Detenidos) / (denuncias)</v>
      </c>
      <c r="D63" s="189">
        <f>+Base!AI59</f>
        <v>4.5625000000000006E-2</v>
      </c>
      <c r="E63" s="189">
        <f>+Base!AQ59</f>
        <v>1.09E-2</v>
      </c>
      <c r="F63" s="188" t="str">
        <f t="shared" si="0"/>
        <v xml:space="preserve">Peor que el promedio </v>
      </c>
    </row>
    <row r="64" spans="1:6">
      <c r="A64" s="185"/>
      <c r="B64" s="186" t="str">
        <f>+Base!F60</f>
        <v>Unidades judiciales y servicios</v>
      </c>
      <c r="C64" s="186" t="str">
        <f>+Base!G60</f>
        <v>(Unidades judiciales y servicios) / (población/1000000)</v>
      </c>
      <c r="D64" s="196">
        <f>+Base!AI60</f>
        <v>52.544583333333321</v>
      </c>
      <c r="E64" s="196">
        <f>+Base!AQ60</f>
        <v>14.42</v>
      </c>
      <c r="F64" s="188" t="str">
        <f t="shared" si="0"/>
        <v xml:space="preserve">Peor que el promedio </v>
      </c>
    </row>
    <row r="65" spans="1:6">
      <c r="A65" s="185"/>
      <c r="B65" s="186" t="str">
        <f>+Base!F61</f>
        <v>Personal de justicia</v>
      </c>
      <c r="C65" s="186" t="str">
        <f>+Base!G61</f>
        <v>(Personal)/(población/1000000)</v>
      </c>
      <c r="D65" s="196">
        <f>+Base!AI61</f>
        <v>332.30752749999994</v>
      </c>
      <c r="E65" s="196">
        <f>+Base!AQ61</f>
        <v>236.2901</v>
      </c>
      <c r="F65" s="188" t="str">
        <f t="shared" si="0"/>
        <v xml:space="preserve">Peor que el promedio </v>
      </c>
    </row>
    <row r="66" spans="1:6">
      <c r="A66" s="190" t="str">
        <f>+Base!B62</f>
        <v>Urbanización</v>
      </c>
      <c r="B66" s="180" t="str">
        <f>+Base!F62</f>
        <v xml:space="preserve">Densidad poblacional </v>
      </c>
      <c r="C66" s="180" t="str">
        <f>+Base!G62</f>
        <v>(Población) / (Km2)</v>
      </c>
      <c r="D66" s="192">
        <f>+Base!AI62</f>
        <v>56</v>
      </c>
      <c r="E66" s="192">
        <f>+Base!AQ62</f>
        <v>236</v>
      </c>
      <c r="F66" s="157" t="str">
        <f t="shared" si="0"/>
        <v>Mejor que el promedio</v>
      </c>
    </row>
    <row r="67" spans="1:6">
      <c r="A67" s="190"/>
      <c r="B67" s="180" t="str">
        <f>+Base!F63</f>
        <v>% Población urbana</v>
      </c>
      <c r="C67" s="180" t="str">
        <f>+Base!G63</f>
        <v>(Poblacion urbana) / (población)</v>
      </c>
      <c r="D67" s="205">
        <f>+Base!AI63</f>
        <v>0.53589583333333335</v>
      </c>
      <c r="E67" s="205">
        <f>+Base!AQ63</f>
        <v>0.84570000000000001</v>
      </c>
      <c r="F67" s="157" t="str">
        <f t="shared" si="0"/>
        <v>Mejor que el promedio</v>
      </c>
    </row>
    <row r="68" spans="1:6">
      <c r="A68" s="190"/>
      <c r="B68" s="180" t="str">
        <f>+Base!F64</f>
        <v>% Fuerza laboral</v>
      </c>
      <c r="C68" s="180" t="str">
        <f>+Base!G64</f>
        <v>(PEA) / (población)</v>
      </c>
      <c r="D68" s="193">
        <f>+Base!AI64</f>
        <v>0.52968749999999998</v>
      </c>
      <c r="E68" s="193">
        <f>+Base!AQ64</f>
        <v>0.51670000000000005</v>
      </c>
      <c r="F68" s="157" t="str">
        <f t="shared" si="0"/>
        <v xml:space="preserve">Peor que el promedio </v>
      </c>
    </row>
    <row r="69" spans="1:6">
      <c r="A69" s="190"/>
      <c r="B69" s="180" t="str">
        <f>+Base!F65</f>
        <v>Cobertura agua potable</v>
      </c>
      <c r="C69" s="180" t="str">
        <f>+Base!G65</f>
        <v>(Conexiones) / (hogares)</v>
      </c>
      <c r="D69" s="193">
        <f>+Base!AI65</f>
        <v>0.53216666666666657</v>
      </c>
      <c r="E69" s="193">
        <f>+Base!AQ65</f>
        <v>0.70599999999999996</v>
      </c>
      <c r="F69" s="157" t="str">
        <f t="shared" si="0"/>
        <v>Mejor que el promedio</v>
      </c>
    </row>
    <row r="70" spans="1:6" ht="30">
      <c r="A70" s="190"/>
      <c r="B70" s="180" t="str">
        <f>+Base!F66</f>
        <v>Cobertura electricidad</v>
      </c>
      <c r="C70" s="180" t="str">
        <f>+Base!G66</f>
        <v>(Número de viviendas con conexión) / (Total de viviendas)</v>
      </c>
      <c r="D70" s="193">
        <f>+Base!AI66</f>
        <v>0.96400000000000008</v>
      </c>
      <c r="E70" s="193">
        <f>+Base!AQ66</f>
        <v>0.99099999999999999</v>
      </c>
      <c r="F70" s="157" t="str">
        <f t="shared" si="0"/>
        <v>Mejor que el promedio</v>
      </c>
    </row>
    <row r="71" spans="1:6">
      <c r="A71" s="190"/>
      <c r="B71" s="180" t="str">
        <f>+Base!F67</f>
        <v>Costo electricidad</v>
      </c>
      <c r="C71" s="180" t="str">
        <f>+Base!G67</f>
        <v>(Costo KW) / (hora)</v>
      </c>
      <c r="D71" s="206">
        <f>+Base!AI67</f>
        <v>0.10206666666666668</v>
      </c>
      <c r="E71" s="206">
        <f>+Base!AQ67</f>
        <v>0.10310000000000001</v>
      </c>
      <c r="F71" s="157" t="str">
        <f t="shared" si="0"/>
        <v>Mejor que el promedio</v>
      </c>
    </row>
    <row r="73" spans="1:6">
      <c r="B73" s="207" t="s">
        <v>382</v>
      </c>
    </row>
  </sheetData>
  <mergeCells count="13">
    <mergeCell ref="A66:A71"/>
    <mergeCell ref="C3:E3"/>
    <mergeCell ref="A36:A39"/>
    <mergeCell ref="A40:A46"/>
    <mergeCell ref="A47:A50"/>
    <mergeCell ref="A51:A59"/>
    <mergeCell ref="A60:A61"/>
    <mergeCell ref="A62:A65"/>
    <mergeCell ref="A8:A13"/>
    <mergeCell ref="A14:A22"/>
    <mergeCell ref="A23:A26"/>
    <mergeCell ref="A27:A30"/>
    <mergeCell ref="A31:A35"/>
  </mergeCells>
  <hyperlinks>
    <hyperlink ref="F5" location="Indice!A1" display="ÍNDICE"/>
  </hyperlinks>
  <pageMargins left="0.75" right="0.75" top="1" bottom="1" header="0.5" footer="0.5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Indice</vt:lpstr>
      <vt:lpstr>Total General</vt:lpstr>
      <vt:lpstr>Ind. pilar y provincia</vt:lpstr>
      <vt:lpstr>Variables por pilar</vt:lpstr>
      <vt:lpstr>Base</vt:lpstr>
      <vt:lpstr>Listas</vt:lpstr>
      <vt:lpstr>Gráficos</vt:lpstr>
      <vt:lpstr>Indice por pilar</vt:lpstr>
      <vt:lpstr>Detalle indicadores provincia </vt:lpstr>
      <vt:lpstr>Ubicación relativa </vt:lpstr>
      <vt:lpstr>Por provincia</vt:lpstr>
      <vt:lpstr>Resumen competitividad</vt:lpstr>
      <vt:lpstr>Comparación por provincias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</cp:lastModifiedBy>
  <dcterms:created xsi:type="dcterms:W3CDTF">2017-10-19T21:16:37Z</dcterms:created>
  <dcterms:modified xsi:type="dcterms:W3CDTF">2017-11-15T06:25:49Z</dcterms:modified>
</cp:coreProperties>
</file>