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"/>
    </mc:Choice>
  </mc:AlternateContent>
  <xr:revisionPtr revIDLastSave="0" documentId="13_ncr:1_{61C04888-7C47-924E-B413-562F56854F17}" xr6:coauthVersionLast="46" xr6:coauthVersionMax="46" xr10:uidLastSave="{00000000-0000-0000-0000-000000000000}"/>
  <bookViews>
    <workbookView xWindow="0" yWindow="460" windowWidth="28800" windowHeight="16320" activeTab="2" xr2:uid="{00000000-000D-0000-FFFF-FFFF00000000}"/>
  </bookViews>
  <sheets>
    <sheet name="2020_station_filtered_data" sheetId="3" r:id="rId1"/>
    <sheet name="cluster analysis" sheetId="4" r:id="rId2"/>
    <sheet name="final clusters" sheetId="5" r:id="rId3"/>
  </sheets>
  <definedNames>
    <definedName name="cluster">'cluster analysis'!$I$16:$M$50</definedName>
    <definedName name="data">'cluster analysis'!$A$16:$D$50</definedName>
    <definedName name="solver_adj" localSheetId="1" hidden="1">'cluster analysis'!$C$3:$C$5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itr" localSheetId="1" hidden="1">2147483647</definedName>
    <definedName name="solver_lhs1" localSheetId="1" hidden="1">'cluster analysis'!$C$3:$C$5</definedName>
    <definedName name="solver_lhs2" localSheetId="1" hidden="1">'cluster analysis'!$C$3:$C$5</definedName>
    <definedName name="solver_lhs3" localSheetId="1" hidden="1">'cluster analysis'!$C$3:$C$5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'cluster analysis'!$H$14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34</definedName>
    <definedName name="solver_rhs2" localSheetId="1" hidden="1">integer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  <definedName name="water">'cluster analysis'!$A$16:$I$50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C13" i="4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B5" i="4" l="1"/>
  <c r="B3" i="4"/>
  <c r="B4" i="4"/>
  <c r="D29" i="4"/>
  <c r="D36" i="4"/>
  <c r="D48" i="4"/>
  <c r="D26" i="4"/>
  <c r="D18" i="4"/>
  <c r="D43" i="4"/>
  <c r="D35" i="4"/>
  <c r="D22" i="4"/>
  <c r="D27" i="4"/>
  <c r="D19" i="4"/>
  <c r="D44" i="4"/>
  <c r="D25" i="4"/>
  <c r="D50" i="4"/>
  <c r="D42" i="4"/>
  <c r="D34" i="4"/>
  <c r="D33" i="4"/>
  <c r="D32" i="4"/>
  <c r="D31" i="4"/>
  <c r="D3" i="4" s="1"/>
  <c r="D24" i="4"/>
  <c r="D41" i="4"/>
  <c r="D23" i="4"/>
  <c r="D40" i="4"/>
  <c r="D47" i="4"/>
  <c r="D17" i="4"/>
  <c r="D21" i="4"/>
  <c r="D46" i="4"/>
  <c r="D38" i="4"/>
  <c r="D30" i="4"/>
  <c r="D5" i="4" s="1"/>
  <c r="D49" i="4"/>
  <c r="D39" i="4"/>
  <c r="D28" i="4"/>
  <c r="D4" i="4" s="1"/>
  <c r="D20" i="4"/>
  <c r="D45" i="4"/>
  <c r="D37" i="4"/>
  <c r="E30" i="4" l="1"/>
  <c r="G22" i="4"/>
  <c r="G26" i="4"/>
  <c r="G27" i="4"/>
  <c r="G32" i="4"/>
  <c r="G48" i="4"/>
  <c r="G23" i="4"/>
  <c r="G20" i="4"/>
  <c r="G17" i="4"/>
  <c r="G47" i="4"/>
  <c r="G19" i="4"/>
  <c r="G39" i="4"/>
  <c r="G34" i="4"/>
  <c r="G41" i="4"/>
  <c r="G25" i="4"/>
  <c r="G33" i="4"/>
  <c r="G24" i="4"/>
  <c r="G45" i="4"/>
  <c r="G40" i="4"/>
  <c r="G30" i="4"/>
  <c r="G18" i="4"/>
  <c r="G21" i="4"/>
  <c r="G38" i="4"/>
  <c r="G49" i="4"/>
  <c r="G42" i="4"/>
  <c r="G46" i="4"/>
  <c r="G35" i="4"/>
  <c r="G37" i="4"/>
  <c r="G36" i="4"/>
  <c r="G50" i="4"/>
  <c r="G29" i="4"/>
  <c r="G28" i="4"/>
  <c r="G43" i="4"/>
  <c r="G44" i="4"/>
  <c r="G31" i="4"/>
  <c r="F35" i="4"/>
  <c r="F38" i="4"/>
  <c r="F48" i="4"/>
  <c r="F32" i="4"/>
  <c r="F41" i="4"/>
  <c r="F40" i="4"/>
  <c r="F18" i="4"/>
  <c r="F24" i="4"/>
  <c r="F37" i="4"/>
  <c r="F31" i="4"/>
  <c r="F43" i="4"/>
  <c r="F19" i="4"/>
  <c r="F39" i="4"/>
  <c r="F25" i="4"/>
  <c r="F26" i="4"/>
  <c r="F34" i="4"/>
  <c r="F27" i="4"/>
  <c r="F22" i="4"/>
  <c r="F17" i="4"/>
  <c r="F28" i="4"/>
  <c r="F44" i="4"/>
  <c r="F47" i="4"/>
  <c r="F23" i="4"/>
  <c r="F45" i="4"/>
  <c r="F21" i="4"/>
  <c r="F30" i="4"/>
  <c r="F29" i="4"/>
  <c r="F49" i="4"/>
  <c r="F36" i="4"/>
  <c r="H36" i="4" s="1"/>
  <c r="F46" i="4"/>
  <c r="F33" i="4"/>
  <c r="F42" i="4"/>
  <c r="F20" i="4"/>
  <c r="F50" i="4"/>
  <c r="E24" i="4"/>
  <c r="E38" i="4"/>
  <c r="E40" i="4"/>
  <c r="E33" i="4"/>
  <c r="E46" i="4"/>
  <c r="E32" i="4"/>
  <c r="E44" i="4"/>
  <c r="E36" i="4"/>
  <c r="E37" i="4"/>
  <c r="E34" i="4"/>
  <c r="E35" i="4"/>
  <c r="E19" i="4"/>
  <c r="E42" i="4"/>
  <c r="E25" i="4"/>
  <c r="E21" i="4"/>
  <c r="E50" i="4"/>
  <c r="E45" i="4"/>
  <c r="E31" i="4"/>
  <c r="E27" i="4"/>
  <c r="E20" i="4"/>
  <c r="E26" i="4"/>
  <c r="E18" i="4"/>
  <c r="E28" i="4"/>
  <c r="E48" i="4"/>
  <c r="E49" i="4"/>
  <c r="E17" i="4"/>
  <c r="E39" i="4"/>
  <c r="E29" i="4"/>
  <c r="E22" i="4"/>
  <c r="E23" i="4"/>
  <c r="E41" i="4"/>
  <c r="E47" i="4"/>
  <c r="E43" i="4"/>
  <c r="H38" i="4" l="1"/>
  <c r="H34" i="4"/>
  <c r="H26" i="4"/>
  <c r="H29" i="4"/>
  <c r="H19" i="4"/>
  <c r="H47" i="4"/>
  <c r="I47" i="4" s="1"/>
  <c r="J47" i="4" s="1"/>
  <c r="H22" i="4"/>
  <c r="I22" i="4" s="1"/>
  <c r="J22" i="4" s="1"/>
  <c r="H33" i="4"/>
  <c r="H50" i="4"/>
  <c r="H46" i="4"/>
  <c r="I46" i="4" s="1"/>
  <c r="J46" i="4" s="1"/>
  <c r="H18" i="4"/>
  <c r="H25" i="4"/>
  <c r="I19" i="4"/>
  <c r="J19" i="4" s="1"/>
  <c r="H37" i="4"/>
  <c r="I36" i="4"/>
  <c r="J36" i="4" s="1"/>
  <c r="I26" i="4"/>
  <c r="J26" i="4" s="1"/>
  <c r="H20" i="4"/>
  <c r="I20" i="4" s="1"/>
  <c r="J20" i="4" s="1"/>
  <c r="H27" i="4"/>
  <c r="H40" i="4"/>
  <c r="H44" i="4"/>
  <c r="I44" i="4" s="1"/>
  <c r="J44" i="4" s="1"/>
  <c r="H41" i="4"/>
  <c r="H28" i="4"/>
  <c r="H32" i="4"/>
  <c r="I34" i="4" s="1"/>
  <c r="J34" i="4" s="1"/>
  <c r="H23" i="4"/>
  <c r="H39" i="4"/>
  <c r="H17" i="4"/>
  <c r="H43" i="4"/>
  <c r="H49" i="4"/>
  <c r="H45" i="4"/>
  <c r="I45" i="4" s="1"/>
  <c r="J45" i="4" s="1"/>
  <c r="H24" i="4"/>
  <c r="H21" i="4"/>
  <c r="I21" i="4" s="1"/>
  <c r="J21" i="4" s="1"/>
  <c r="H48" i="4"/>
  <c r="H42" i="4"/>
  <c r="H35" i="4"/>
  <c r="H31" i="4"/>
  <c r="H30" i="4"/>
  <c r="I38" i="4" l="1"/>
  <c r="J38" i="4" s="1"/>
  <c r="I50" i="4"/>
  <c r="J50" i="4" s="1"/>
  <c r="I41" i="4"/>
  <c r="J41" i="4" s="1"/>
  <c r="I33" i="4"/>
  <c r="J33" i="4" s="1"/>
  <c r="I29" i="4"/>
  <c r="J29" i="4" s="1"/>
  <c r="I25" i="4"/>
  <c r="J25" i="4" s="1"/>
  <c r="I32" i="4"/>
  <c r="J32" i="4" s="1"/>
  <c r="H14" i="4"/>
  <c r="I49" i="4"/>
  <c r="J49" i="4" s="1"/>
  <c r="I37" i="4"/>
  <c r="J37" i="4" s="1"/>
  <c r="I18" i="4"/>
  <c r="J18" i="4" s="1"/>
  <c r="I24" i="4"/>
  <c r="J24" i="4" s="1"/>
  <c r="I23" i="4"/>
  <c r="J23" i="4" s="1"/>
  <c r="I30" i="4"/>
  <c r="J30" i="4" s="1"/>
  <c r="I39" i="4"/>
  <c r="J39" i="4" s="1"/>
  <c r="I27" i="4"/>
  <c r="J27" i="4" s="1"/>
  <c r="I35" i="4"/>
  <c r="J35" i="4" s="1"/>
  <c r="I31" i="4"/>
  <c r="J31" i="4" s="1"/>
  <c r="I28" i="4"/>
  <c r="J28" i="4" s="1"/>
  <c r="I42" i="4"/>
  <c r="J42" i="4" s="1"/>
  <c r="I48" i="4"/>
  <c r="J48" i="4" s="1"/>
  <c r="I43" i="4"/>
  <c r="J43" i="4" s="1"/>
  <c r="I40" i="4"/>
  <c r="J40" i="4" s="1"/>
  <c r="I17" i="4"/>
  <c r="J17" i="4" s="1"/>
</calcChain>
</file>

<file path=xl/sharedStrings.xml><?xml version="1.0" encoding="utf-8"?>
<sst xmlns="http://schemas.openxmlformats.org/spreadsheetml/2006/main" count="310" uniqueCount="106">
  <si>
    <t>objectid</t>
  </si>
  <si>
    <t>station</t>
  </si>
  <si>
    <t>gps_coordinate_north</t>
  </si>
  <si>
    <t>gps_coordinate_west</t>
  </si>
  <si>
    <t>parameter</t>
  </si>
  <si>
    <t>lab</t>
  </si>
  <si>
    <t>result</t>
  </si>
  <si>
    <t>unit</t>
  </si>
  <si>
    <t>datetime</t>
  </si>
  <si>
    <t>HAMILTON AVE.</t>
  </si>
  <si>
    <t>mg/L</t>
  </si>
  <si>
    <t>RADECKE AVE.</t>
  </si>
  <si>
    <t>Nitrate+Nitrite-Nitrogen</t>
  </si>
  <si>
    <t>MARY AVE.</t>
  </si>
  <si>
    <t>WRIGHT AVE.</t>
  </si>
  <si>
    <t>POWDER MILL</t>
  </si>
  <si>
    <t>PURNELL DR.</t>
  </si>
  <si>
    <t>DEAD RUN DNST.</t>
  </si>
  <si>
    <t>SMITH AVE.</t>
  </si>
  <si>
    <t>STONY RUN</t>
  </si>
  <si>
    <t>WESTERN RUN</t>
  </si>
  <si>
    <t>HARFORD RD.</t>
  </si>
  <si>
    <t>TIFFANY RUN</t>
  </si>
  <si>
    <t>MAIDENS CHOICE</t>
  </si>
  <si>
    <t>GRUN CARROLL PARK</t>
  </si>
  <si>
    <t>LOMBARD ST.</t>
  </si>
  <si>
    <t>WASHINGTON BLVD.</t>
  </si>
  <si>
    <t>GWYNNS FALLS PKWY.</t>
  </si>
  <si>
    <t>PULASKI HWY.</t>
  </si>
  <si>
    <t>MT. PLEASANT GC</t>
  </si>
  <si>
    <t>CHINQUAPIN RUN</t>
  </si>
  <si>
    <t>PERRING PKWY</t>
  </si>
  <si>
    <t>BIDDLE ST. &amp; 62ND ST.</t>
  </si>
  <si>
    <t>GRUN HILTON ST.</t>
  </si>
  <si>
    <t>GF HILTON ST.</t>
  </si>
  <si>
    <t>LIGHT ST.</t>
  </si>
  <si>
    <t>WARNER &amp; ALLUVION</t>
  </si>
  <si>
    <t>CENTRAL &amp; LANCASTER</t>
  </si>
  <si>
    <t>WATERVIEW AVE.</t>
  </si>
  <si>
    <t>JANEY RUN</t>
  </si>
  <si>
    <t>REEDBIRD AVE.</t>
  </si>
  <si>
    <t>LAKEWOOD &amp; HUDSON</t>
  </si>
  <si>
    <t>LINWOOD &amp; ELLIOTT</t>
  </si>
  <si>
    <t>ALS-MDT</t>
  </si>
  <si>
    <t>JF 11.5</t>
  </si>
  <si>
    <t>2020/01/07 15:40:00+00</t>
  </si>
  <si>
    <t>2020/01/07 16:01:00+00</t>
  </si>
  <si>
    <t>2020/01/07 16:24:00+00</t>
  </si>
  <si>
    <t>2020/01/07 16:38:00+00</t>
  </si>
  <si>
    <t>2020/01/07 16:46:00+00</t>
  </si>
  <si>
    <t>2020/01/07 17:12:00+00</t>
  </si>
  <si>
    <t>2020/01/07 17:35:00+00</t>
  </si>
  <si>
    <t>2020/01/07 17:45:00+00</t>
  </si>
  <si>
    <t>2020/01/07 18:16:00+00</t>
  </si>
  <si>
    <t>2020/01/14 14:31:00+00</t>
  </si>
  <si>
    <t>2020/01/14 14:38:00+00</t>
  </si>
  <si>
    <t>2020/01/14 15:02:00+00</t>
  </si>
  <si>
    <t>2020/01/14 15:20:00+00</t>
  </si>
  <si>
    <t>2020/01/14 15:48:00+00</t>
  </si>
  <si>
    <t>2020/01/21 15:39:00+00</t>
  </si>
  <si>
    <t>2020/01/21 15:55:00+00</t>
  </si>
  <si>
    <t>2020/01/21 16:12:00+00</t>
  </si>
  <si>
    <t>2020/01/21 16:36:00+00</t>
  </si>
  <si>
    <t>2020/01/21 16:57:00+00</t>
  </si>
  <si>
    <t>2020/01/21 17:20:00+00</t>
  </si>
  <si>
    <t>2020/01/21 17:37:00+00</t>
  </si>
  <si>
    <t>2020/01/21 17:54:00+00</t>
  </si>
  <si>
    <t>2020/01/28 15:32:00+00</t>
  </si>
  <si>
    <t>2020/01/28 15:33:00+00</t>
  </si>
  <si>
    <t>2020/01/28 15:43:00+00</t>
  </si>
  <si>
    <t>2020/01/28 16:10:00+00</t>
  </si>
  <si>
    <t>2020/01/28 16:19:00+00</t>
  </si>
  <si>
    <t>2020/01/28 16:48:00+00</t>
  </si>
  <si>
    <t>2020/01/28 17:08:00+00</t>
  </si>
  <si>
    <t>2020/01/28 17:15:00+00</t>
  </si>
  <si>
    <t>2020/01/28 17:39:00+00</t>
  </si>
  <si>
    <t>2020/01/28 17:54:00+00</t>
  </si>
  <si>
    <t>2020/01/28 18:06:00+00</t>
  </si>
  <si>
    <t>POTEE ST.</t>
  </si>
  <si>
    <t>2020/11/17 14:52:00+00</t>
  </si>
  <si>
    <t>number</t>
  </si>
  <si>
    <t>z-score</t>
  </si>
  <si>
    <t>mean:</t>
  </si>
  <si>
    <t>sd:</t>
  </si>
  <si>
    <t>cluster</t>
  </si>
  <si>
    <t>station number</t>
  </si>
  <si>
    <t>dist sq 1</t>
  </si>
  <si>
    <t>dist sq 2</t>
  </si>
  <si>
    <t>dist sq 3</t>
  </si>
  <si>
    <t>minimum</t>
  </si>
  <si>
    <t>CLUSTER</t>
  </si>
  <si>
    <t>SUM OF MIN</t>
  </si>
  <si>
    <t>Cluster 1</t>
  </si>
  <si>
    <t>Cluster 2</t>
  </si>
  <si>
    <t>Cluster 3</t>
  </si>
  <si>
    <t xml:space="preserve">
LOMBARD ST.</t>
  </si>
  <si>
    <t xml:space="preserve">Cluster </t>
  </si>
  <si>
    <t>Cluster Anchor</t>
  </si>
  <si>
    <t>Station</t>
  </si>
  <si>
    <t>below average presence of nitrate/nitrite/nitrogen in relation to other stations</t>
  </si>
  <si>
    <t>close to average presence of nitrate/nitrite/nitrogen in relation to other stations</t>
  </si>
  <si>
    <t>above average presence of nitrate/nitrite/nitrogen in relation to other stations</t>
  </si>
  <si>
    <t>Number of Stations</t>
  </si>
  <si>
    <t>0 to 1 MG/L</t>
  </si>
  <si>
    <t>1 to 2 MG/L</t>
  </si>
  <si>
    <t>5+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</si>
</sst>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 (Body)"/>
    </font>
    <font>
      <b/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Font="1"/>
    <xf numFmtId="0" fontId="16" fillId="0" borderId="10" xfId="0" applyFont="1" applyBorder="1"/>
    <xf numFmtId="0" fontId="16" fillId="33" borderId="10" xfId="0" applyFont="1" applyFill="1" applyBorder="1"/>
    <xf numFmtId="0" fontId="16" fillId="34" borderId="11" xfId="0" applyFont="1" applyFill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6" fillId="35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0" xfId="0" applyFont="1" applyBorder="1" applyAlignment="1">
      <alignment horizontal="left"/>
    </xf>
    <xf numFmtId="0" fontId="16" fillId="35" borderId="14" xfId="0" applyFont="1" applyFill="1" applyBorder="1"/>
    <xf numFmtId="0" fontId="0" fillId="0" borderId="15" xfId="0" applyBorder="1"/>
    <xf numFmtId="0" fontId="19" fillId="0" borderId="0" xfId="0" applyFont="1"/>
    <xf numFmtId="0" fontId="16" fillId="0" borderId="11" xfId="0" applyFont="1" applyFill="1" applyBorder="1"/>
    <xf numFmtId="0" fontId="16" fillId="36" borderId="13" xfId="0" applyFont="1" applyFill="1" applyBorder="1"/>
    <xf numFmtId="0" fontId="21" fillId="37" borderId="0" xfId="0" applyFont="1" applyFill="1" applyBorder="1"/>
    <xf numFmtId="0" fontId="16" fillId="38" borderId="13" xfId="0" applyFont="1" applyFill="1" applyBorder="1" applyAlignment="1">
      <alignment wrapText="1"/>
    </xf>
    <xf numFmtId="0" fontId="0" fillId="0" borderId="16" xfId="0" applyBorder="1"/>
    <xf numFmtId="0" fontId="20" fillId="0" borderId="16" xfId="0" applyFont="1" applyBorder="1" applyAlignment="1">
      <alignment horizontal="left"/>
    </xf>
    <xf numFmtId="0" fontId="22" fillId="38" borderId="16" xfId="0" applyFont="1" applyFill="1" applyBorder="1" applyAlignment="1">
      <alignment horizontal="left"/>
    </xf>
    <xf numFmtId="0" fontId="0" fillId="0" borderId="0" xfId="0" applyFill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0" formatCode="General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B462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Presence of nitrate/nitrite/nitrogen in Baltimore Water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clusters'!$B$24</c:f>
              <c:strCache>
                <c:ptCount val="1"/>
                <c:pt idx="0">
                  <c:v>Number of Stations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clusters'!$A$25:$A$27</c:f>
              <c:strCache>
                <c:ptCount val="3"/>
                <c:pt idx="0">
                  <c:v>0 to 1 MG/L</c:v>
                </c:pt>
                <c:pt idx="1">
                  <c:v>1 to 2 MG/L</c:v>
                </c:pt>
                <c:pt idx="2">
                  <c:v>5+ MG/L</c:v>
                </c:pt>
              </c:strCache>
            </c:strRef>
          </c:cat>
          <c:val>
            <c:numRef>
              <c:f>'final clusters'!$B$25:$B$27</c:f>
              <c:numCache>
                <c:formatCode>General</c:formatCode>
                <c:ptCount val="3"/>
                <c:pt idx="0">
                  <c:v>17</c:v>
                </c:pt>
                <c:pt idx="1">
                  <c:v>20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C-0147-A399-0067C47A65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1007103"/>
        <c:axId val="581008751"/>
      </c:barChart>
      <c:catAx>
        <c:axId val="58100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LEVELS OF NITRATE/NITRATE/NITROGEN </a:t>
                </a:r>
                <a:r>
                  <a:rPr lang="en-US" b="1" baseline="0"/>
                  <a:t> (MG/L)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161194613253191"/>
              <c:y val="0.94369631553693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8751"/>
        <c:crosses val="autoZero"/>
        <c:auto val="1"/>
        <c:lblAlgn val="ctr"/>
        <c:lblOffset val="100"/>
        <c:noMultiLvlLbl val="0"/>
      </c:catAx>
      <c:valAx>
        <c:axId val="58100875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Stations </a:t>
                </a:r>
              </a:p>
            </c:rich>
          </c:tx>
          <c:layout>
            <c:manualLayout>
              <c:xMode val="edge"/>
              <c:yMode val="edge"/>
              <c:x val="1.3245033112582781E-2"/>
              <c:y val="0.39315778406037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8100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6</xdr:row>
      <xdr:rowOff>38100</xdr:rowOff>
    </xdr:from>
    <xdr:to>
      <xdr:col>10</xdr:col>
      <xdr:colOff>812800</xdr:colOff>
      <xdr:row>27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DC3FEA-87CA-5D4D-B4E2-8260E5932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A516C-92EB-C247-92C2-FD018CFA2739}" name="Table2" displayName="Table2" ref="A1:I35" totalsRowShown="0" headerRowDxfId="20" dataDxfId="18" headerRowBorderDxfId="19" tableBorderDxfId="17">
  <autoFilter ref="A1:I35" xr:uid="{8928401C-834D-CF4C-ACAD-419FF9C82BD3}"/>
  <tableColumns count="9">
    <tableColumn id="1" xr3:uid="{FD7FDC24-B399-9E45-B775-1751D1F85C48}" name="objectid" dataDxfId="16"/>
    <tableColumn id="2" xr3:uid="{8095CECC-40AE-0F49-81D8-8F54F00CD391}" name="station" dataDxfId="15"/>
    <tableColumn id="3" xr3:uid="{8C9108F4-6AD8-C345-A259-E8A2894E29E9}" name="gps_coordinate_north" dataDxfId="14"/>
    <tableColumn id="4" xr3:uid="{BCACDD9D-7540-C244-B30B-51564D57CCAD}" name="gps_coordinate_west" dataDxfId="13"/>
    <tableColumn id="5" xr3:uid="{2E774018-429E-364B-AEE9-0F7BDDD4EB53}" name="parameter" dataDxfId="12"/>
    <tableColumn id="6" xr3:uid="{54159075-3606-864B-A493-8340B682A262}" name="lab" dataDxfId="11"/>
    <tableColumn id="7" xr3:uid="{B50E8342-B16E-C743-A8D5-D455D7E48AE3}" name="result" dataDxfId="10"/>
    <tableColumn id="8" xr3:uid="{2950917C-390F-E040-9837-34A095F7A980}" name="unit" dataDxfId="9"/>
    <tableColumn id="9" xr3:uid="{58CAC91D-BC4D-B447-9B0C-40FDFE6333E6}" name="datetime" dataDxfId="8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CB423-E6A7-1E4E-B2EE-6AD178B2D0C3}" name="Table1" displayName="Table1" ref="I16:K50" totalsRowShown="0" headerRowDxfId="7" tableBorderDxfId="6">
  <autoFilter ref="I16:K50" xr:uid="{86517BB0-677C-9B4F-831F-7C9BCC1910AA}">
    <filterColumn colId="0">
      <filters>
        <filter val="1"/>
      </filters>
    </filterColumn>
  </autoFilter>
  <sortState xmlns:xlrd2="http://schemas.microsoft.com/office/spreadsheetml/2017/richdata2" ref="I17:I50">
    <sortCondition descending="1" ref="I16:I50"/>
  </sortState>
  <tableColumns count="3">
    <tableColumn id="1" xr3:uid="{9A48AB17-3751-604C-B0C1-DFC9660300AF}" name="CLUSTER">
      <calculatedColumnFormula>MATCH(H17,E17:G17,0)</calculatedColumnFormula>
    </tableColumn>
    <tableColumn id="2" xr3:uid="{5831CF23-8DA5-434B-A973-67E3F8AF61EB}" name="Cluster Anchor" dataDxfId="5">
      <calculatedColumnFormula>VLOOKUP(Table1[[#This Row],[CLUSTER]],$A$3:$B$5,2,0)</calculatedColumnFormula>
    </tableColumn>
    <tableColumn id="3" xr3:uid="{A011A923-2F6C-C047-813B-C9B26C0C97FF}" name="Station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A211-73C7-0344-A96B-17965010DE33}" name="Table3" displayName="Table3" ref="A2:C20" totalsRowShown="0" tableBorderDxfId="3">
  <autoFilter ref="A2:C20" xr:uid="{EB715F3F-2F16-9944-8167-E980B5F1E12E}"/>
  <tableColumns count="3">
    <tableColumn id="1" xr3:uid="{A1906F00-CDB9-1142-BB23-8ADBFCCE6AA0}" name="Cluster 1" dataDxfId="2"/>
    <tableColumn id="2" xr3:uid="{D1681EFD-71C0-B243-85B7-1C47863F906A}" name="Cluster 2" dataDxfId="1"/>
    <tableColumn id="3" xr3:uid="{E401D1CD-23E9-8042-B0BA-5B54DC6C5A61}" name="Cluster 3" dataDxfId="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B2BB22-8102-3842-AAF0-4D23391975E7}" name="Table4" displayName="Table4" ref="A24:B27" totalsRowShown="0">
  <autoFilter ref="A24:B27" xr:uid="{3C034F57-9641-C84F-91FE-000CB69C42D4}"/>
  <tableColumns count="2">
    <tableColumn id="1" xr3:uid="{D736AAFA-5591-374C-9D7F-D5B091831813}" name="Cluster "/>
    <tableColumn id="2" xr3:uid="{FB425374-3057-6449-AD19-4ADF8C351077}" name="Number of Station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83BB-3705-A94F-8D0F-A89DD9781E26}">
  <dimension ref="A1:I35"/>
  <sheetViews>
    <sheetView workbookViewId="0">
      <selection activeCell="H3" sqref="H3"/>
    </sheetView>
  </sheetViews>
  <sheetFormatPr baseColWidth="10" defaultRowHeight="16" x14ac:dyDescent="0.2"/>
  <cols>
    <col min="2" max="2" width="20.83203125" bestFit="1" customWidth="1"/>
    <col min="3" max="3" width="21.6640625" bestFit="1" customWidth="1"/>
    <col min="4" max="4" width="21.33203125" bestFit="1" customWidth="1"/>
    <col min="5" max="5" width="21.5" bestFit="1" customWidth="1"/>
    <col min="9" max="9" width="21.6640625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1">
        <v>362457</v>
      </c>
      <c r="B2" s="1" t="s">
        <v>15</v>
      </c>
      <c r="C2" s="1">
        <v>39.335900000000002</v>
      </c>
      <c r="D2" s="1">
        <v>-76.710459999999998</v>
      </c>
      <c r="E2" s="1" t="s">
        <v>12</v>
      </c>
      <c r="F2" s="1" t="s">
        <v>43</v>
      </c>
      <c r="G2" s="1">
        <v>2.35</v>
      </c>
      <c r="H2" s="1" t="s">
        <v>10</v>
      </c>
      <c r="I2" s="1" t="s">
        <v>45</v>
      </c>
    </row>
    <row r="3" spans="1:9" x14ac:dyDescent="0.2">
      <c r="A3" s="1">
        <v>362470</v>
      </c>
      <c r="B3" s="1" t="s">
        <v>16</v>
      </c>
      <c r="C3" s="1">
        <v>39.332689999999999</v>
      </c>
      <c r="D3" s="1">
        <v>-76.712220000000002</v>
      </c>
      <c r="E3" s="1" t="s">
        <v>12</v>
      </c>
      <c r="F3" s="1" t="s">
        <v>43</v>
      </c>
      <c r="G3" s="1">
        <v>1.57</v>
      </c>
      <c r="H3" s="1" t="s">
        <v>10</v>
      </c>
      <c r="I3" s="1" t="s">
        <v>46</v>
      </c>
    </row>
    <row r="4" spans="1:9" x14ac:dyDescent="0.2">
      <c r="A4" s="1">
        <v>362482</v>
      </c>
      <c r="B4" s="1" t="s">
        <v>17</v>
      </c>
      <c r="C4" s="1">
        <v>39.30509</v>
      </c>
      <c r="D4" s="1">
        <v>-76.686390000000003</v>
      </c>
      <c r="E4" s="1" t="s">
        <v>12</v>
      </c>
      <c r="F4" s="1" t="s">
        <v>43</v>
      </c>
      <c r="G4" s="1">
        <v>1</v>
      </c>
      <c r="H4" s="1" t="s">
        <v>10</v>
      </c>
      <c r="I4" s="1" t="s">
        <v>47</v>
      </c>
    </row>
    <row r="5" spans="1:9" x14ac:dyDescent="0.2">
      <c r="A5" s="1">
        <v>362495</v>
      </c>
      <c r="B5" s="1" t="s">
        <v>33</v>
      </c>
      <c r="C5" s="1">
        <v>39.302700000000002</v>
      </c>
      <c r="D5" s="1">
        <v>-76.674160000000001</v>
      </c>
      <c r="E5" s="1" t="s">
        <v>12</v>
      </c>
      <c r="F5" s="1" t="s">
        <v>43</v>
      </c>
      <c r="G5" s="1">
        <v>1.41</v>
      </c>
      <c r="H5" s="1" t="s">
        <v>10</v>
      </c>
      <c r="I5" s="1" t="s">
        <v>48</v>
      </c>
    </row>
    <row r="6" spans="1:9" x14ac:dyDescent="0.2">
      <c r="A6" s="1">
        <v>362507</v>
      </c>
      <c r="B6" s="1" t="s">
        <v>34</v>
      </c>
      <c r="C6" s="1">
        <v>39.302869999999999</v>
      </c>
      <c r="D6" s="1">
        <v>-76.674300000000002</v>
      </c>
      <c r="E6" s="1" t="s">
        <v>12</v>
      </c>
      <c r="F6" s="1" t="s">
        <v>43</v>
      </c>
      <c r="G6" s="1">
        <v>2.14</v>
      </c>
      <c r="H6" s="1" t="s">
        <v>10</v>
      </c>
      <c r="I6" s="1" t="s">
        <v>49</v>
      </c>
    </row>
    <row r="7" spans="1:9" x14ac:dyDescent="0.2">
      <c r="A7" s="1">
        <v>362519</v>
      </c>
      <c r="B7" s="1" t="s">
        <v>23</v>
      </c>
      <c r="C7" s="1">
        <v>39.275730000000003</v>
      </c>
      <c r="D7" s="1">
        <v>-76.666070000000005</v>
      </c>
      <c r="E7" s="1" t="s">
        <v>12</v>
      </c>
      <c r="F7" s="1" t="s">
        <v>43</v>
      </c>
      <c r="G7" s="1">
        <v>1.66</v>
      </c>
      <c r="H7" s="1" t="s">
        <v>10</v>
      </c>
      <c r="I7" s="1" t="s">
        <v>50</v>
      </c>
    </row>
    <row r="8" spans="1:9" x14ac:dyDescent="0.2">
      <c r="A8" s="1">
        <v>362532</v>
      </c>
      <c r="B8" s="1" t="s">
        <v>24</v>
      </c>
      <c r="C8" s="1">
        <v>39.274709999999999</v>
      </c>
      <c r="D8" s="1">
        <v>-76.653729999999996</v>
      </c>
      <c r="E8" s="1" t="s">
        <v>12</v>
      </c>
      <c r="F8" s="1" t="s">
        <v>43</v>
      </c>
      <c r="G8" s="1">
        <v>1.98</v>
      </c>
      <c r="H8" s="1" t="s">
        <v>10</v>
      </c>
      <c r="I8" s="1" t="s">
        <v>51</v>
      </c>
    </row>
    <row r="9" spans="1:9" x14ac:dyDescent="0.2">
      <c r="A9" s="1">
        <v>362544</v>
      </c>
      <c r="B9" s="1" t="s">
        <v>26</v>
      </c>
      <c r="C9" s="1">
        <v>39.272069999999999</v>
      </c>
      <c r="D9" s="1">
        <v>-76.65016</v>
      </c>
      <c r="E9" s="1" t="s">
        <v>12</v>
      </c>
      <c r="F9" s="1" t="s">
        <v>43</v>
      </c>
      <c r="G9" s="1">
        <v>1.38</v>
      </c>
      <c r="H9" s="1" t="s">
        <v>10</v>
      </c>
      <c r="I9" s="1" t="s">
        <v>52</v>
      </c>
    </row>
    <row r="10" spans="1:9" x14ac:dyDescent="0.2">
      <c r="A10" s="1">
        <v>362556</v>
      </c>
      <c r="B10" s="1" t="s">
        <v>27</v>
      </c>
      <c r="C10" s="1">
        <v>39.314860000000003</v>
      </c>
      <c r="D10" s="1">
        <v>-76.665589999999995</v>
      </c>
      <c r="E10" s="1" t="s">
        <v>12</v>
      </c>
      <c r="F10" s="1" t="s">
        <v>43</v>
      </c>
      <c r="G10" s="1">
        <v>1.94</v>
      </c>
      <c r="H10" s="1" t="s">
        <v>10</v>
      </c>
      <c r="I10" s="1" t="s">
        <v>53</v>
      </c>
    </row>
    <row r="11" spans="1:9" x14ac:dyDescent="0.2">
      <c r="A11" s="1">
        <v>362768</v>
      </c>
      <c r="B11" s="1" t="s">
        <v>18</v>
      </c>
      <c r="C11" s="1">
        <v>39.367820000000002</v>
      </c>
      <c r="D11" s="1">
        <v>-76.648700000000005</v>
      </c>
      <c r="E11" s="1" t="s">
        <v>12</v>
      </c>
      <c r="F11" s="1" t="s">
        <v>43</v>
      </c>
      <c r="G11" s="1">
        <v>1.5</v>
      </c>
      <c r="H11" s="1" t="s">
        <v>10</v>
      </c>
      <c r="I11" s="1" t="s">
        <v>54</v>
      </c>
    </row>
    <row r="12" spans="1:9" x14ac:dyDescent="0.2">
      <c r="A12" s="1">
        <v>362784</v>
      </c>
      <c r="B12" s="1" t="s">
        <v>20</v>
      </c>
      <c r="C12" s="1">
        <v>39.367750000000001</v>
      </c>
      <c r="D12" s="1">
        <v>-76.649100000000004</v>
      </c>
      <c r="E12" s="1" t="s">
        <v>12</v>
      </c>
      <c r="F12" s="1" t="s">
        <v>43</v>
      </c>
      <c r="G12" s="1">
        <v>1.64</v>
      </c>
      <c r="H12" s="1" t="s">
        <v>10</v>
      </c>
      <c r="I12" s="1" t="s">
        <v>55</v>
      </c>
    </row>
    <row r="13" spans="1:9" x14ac:dyDescent="0.2">
      <c r="A13" s="1">
        <v>362806</v>
      </c>
      <c r="B13" s="1" t="s">
        <v>19</v>
      </c>
      <c r="C13" s="1">
        <v>39.3264</v>
      </c>
      <c r="D13" s="1">
        <v>-76.62612</v>
      </c>
      <c r="E13" s="1" t="s">
        <v>12</v>
      </c>
      <c r="F13" s="1" t="s">
        <v>43</v>
      </c>
      <c r="G13" s="1">
        <v>2.34</v>
      </c>
      <c r="H13" s="1" t="s">
        <v>10</v>
      </c>
      <c r="I13" s="1" t="s">
        <v>56</v>
      </c>
    </row>
    <row r="14" spans="1:9" x14ac:dyDescent="0.2">
      <c r="A14" s="1">
        <v>362831</v>
      </c>
      <c r="B14" s="1" t="s">
        <v>44</v>
      </c>
      <c r="C14" s="1">
        <v>39.313099000000001</v>
      </c>
      <c r="D14" s="1">
        <v>-76.622608</v>
      </c>
      <c r="E14" s="1" t="s">
        <v>12</v>
      </c>
      <c r="F14" s="1" t="s">
        <v>43</v>
      </c>
      <c r="G14" s="1">
        <v>2.89</v>
      </c>
      <c r="H14" s="1" t="s">
        <v>10</v>
      </c>
      <c r="I14" s="1" t="s">
        <v>57</v>
      </c>
    </row>
    <row r="15" spans="1:9" x14ac:dyDescent="0.2">
      <c r="A15" s="1">
        <v>362856</v>
      </c>
      <c r="B15" s="1" t="s">
        <v>25</v>
      </c>
      <c r="C15" s="1">
        <v>39.288249999999998</v>
      </c>
      <c r="D15" s="1">
        <v>-76.605350000000001</v>
      </c>
      <c r="E15" s="1" t="s">
        <v>12</v>
      </c>
      <c r="F15" s="1" t="s">
        <v>43</v>
      </c>
      <c r="G15" s="1">
        <v>5.12</v>
      </c>
      <c r="H15" s="1" t="s">
        <v>10</v>
      </c>
      <c r="I15" s="1" t="s">
        <v>58</v>
      </c>
    </row>
    <row r="16" spans="1:9" x14ac:dyDescent="0.2">
      <c r="A16" s="1">
        <v>363097</v>
      </c>
      <c r="B16" s="1" t="s">
        <v>36</v>
      </c>
      <c r="C16" s="1">
        <v>39.274120000000003</v>
      </c>
      <c r="D16" s="1">
        <v>-76.625410000000002</v>
      </c>
      <c r="E16" s="1" t="s">
        <v>12</v>
      </c>
      <c r="F16" s="1" t="s">
        <v>43</v>
      </c>
      <c r="G16" s="1">
        <v>1.32</v>
      </c>
      <c r="H16" s="1" t="s">
        <v>10</v>
      </c>
      <c r="I16" s="1" t="s">
        <v>59</v>
      </c>
    </row>
    <row r="17" spans="1:9" x14ac:dyDescent="0.2">
      <c r="A17" s="1">
        <v>363129</v>
      </c>
      <c r="B17" s="1" t="s">
        <v>38</v>
      </c>
      <c r="C17" s="1">
        <v>39.258000000000003</v>
      </c>
      <c r="D17" s="1">
        <v>-76.632580000000004</v>
      </c>
      <c r="E17" s="1" t="s">
        <v>12</v>
      </c>
      <c r="F17" s="1" t="s">
        <v>43</v>
      </c>
      <c r="G17" s="1">
        <v>2.52</v>
      </c>
      <c r="H17" s="1" t="s">
        <v>10</v>
      </c>
      <c r="I17" s="1" t="s">
        <v>60</v>
      </c>
    </row>
    <row r="18" spans="1:9" x14ac:dyDescent="0.2">
      <c r="A18" s="1">
        <v>363151</v>
      </c>
      <c r="B18" s="1" t="s">
        <v>40</v>
      </c>
      <c r="C18" s="1">
        <v>39.244489999999999</v>
      </c>
      <c r="D18" s="1">
        <v>-76.614289999999997</v>
      </c>
      <c r="E18" s="1" t="s">
        <v>12</v>
      </c>
      <c r="F18" s="1" t="s">
        <v>43</v>
      </c>
      <c r="G18" s="1">
        <v>2.06</v>
      </c>
      <c r="H18" s="1" t="s">
        <v>10</v>
      </c>
      <c r="I18" s="1" t="s">
        <v>61</v>
      </c>
    </row>
    <row r="19" spans="1:9" x14ac:dyDescent="0.2">
      <c r="A19" s="1">
        <v>363179</v>
      </c>
      <c r="B19" s="1" t="s">
        <v>35</v>
      </c>
      <c r="C19" s="1">
        <v>39.283430000000003</v>
      </c>
      <c r="D19" s="1">
        <v>-76.611819999999994</v>
      </c>
      <c r="E19" s="1" t="s">
        <v>12</v>
      </c>
      <c r="F19" s="1" t="s">
        <v>43</v>
      </c>
      <c r="G19" s="1">
        <v>1.02</v>
      </c>
      <c r="H19" s="1" t="s">
        <v>10</v>
      </c>
      <c r="I19" s="1" t="s">
        <v>62</v>
      </c>
    </row>
    <row r="20" spans="1:9" x14ac:dyDescent="0.2">
      <c r="A20" s="1">
        <v>363211</v>
      </c>
      <c r="B20" s="1" t="s">
        <v>37</v>
      </c>
      <c r="C20" s="1">
        <v>39.283189999999998</v>
      </c>
      <c r="D20" s="1">
        <v>-76.593810000000005</v>
      </c>
      <c r="E20" s="1" t="s">
        <v>12</v>
      </c>
      <c r="F20" s="1" t="s">
        <v>43</v>
      </c>
      <c r="G20" s="1">
        <v>0.73</v>
      </c>
      <c r="H20" s="1" t="s">
        <v>10</v>
      </c>
      <c r="I20" s="1" t="s">
        <v>63</v>
      </c>
    </row>
    <row r="21" spans="1:9" x14ac:dyDescent="0.2">
      <c r="A21" s="1">
        <v>363240</v>
      </c>
      <c r="B21" s="1" t="s">
        <v>41</v>
      </c>
      <c r="C21" s="1">
        <v>39.282220000000002</v>
      </c>
      <c r="D21" s="1">
        <v>-76.578402100000005</v>
      </c>
      <c r="E21" s="1" t="s">
        <v>12</v>
      </c>
      <c r="F21" s="1" t="s">
        <v>43</v>
      </c>
      <c r="G21" s="1">
        <v>2.79</v>
      </c>
      <c r="H21" s="1" t="s">
        <v>10</v>
      </c>
      <c r="I21" s="1" t="s">
        <v>64</v>
      </c>
    </row>
    <row r="22" spans="1:9" x14ac:dyDescent="0.2">
      <c r="A22" s="1">
        <v>363262</v>
      </c>
      <c r="B22" s="1" t="s">
        <v>42</v>
      </c>
      <c r="C22" s="1">
        <v>39.279215499999999</v>
      </c>
      <c r="D22" s="1">
        <v>-76.575338299999999</v>
      </c>
      <c r="E22" s="1" t="s">
        <v>12</v>
      </c>
      <c r="F22" s="1" t="s">
        <v>43</v>
      </c>
      <c r="G22" s="1">
        <v>2.2799999999999998</v>
      </c>
      <c r="H22" s="1" t="s">
        <v>10</v>
      </c>
      <c r="I22" s="1" t="s">
        <v>65</v>
      </c>
    </row>
    <row r="23" spans="1:9" x14ac:dyDescent="0.2">
      <c r="A23" s="1">
        <v>363274</v>
      </c>
      <c r="B23" s="1" t="s">
        <v>39</v>
      </c>
      <c r="C23" s="1">
        <v>39.261369999999999</v>
      </c>
      <c r="D23" s="1">
        <v>-76.557980000000001</v>
      </c>
      <c r="E23" s="1" t="s">
        <v>12</v>
      </c>
      <c r="F23" s="1" t="s">
        <v>43</v>
      </c>
      <c r="G23" s="1">
        <v>0.6</v>
      </c>
      <c r="H23" s="1" t="s">
        <v>10</v>
      </c>
      <c r="I23" s="1" t="s">
        <v>66</v>
      </c>
    </row>
    <row r="24" spans="1:9" x14ac:dyDescent="0.2">
      <c r="A24" s="1">
        <v>363481</v>
      </c>
      <c r="B24" s="1" t="s">
        <v>29</v>
      </c>
      <c r="C24" s="1">
        <v>39.358759999999997</v>
      </c>
      <c r="D24" s="1">
        <v>-76.573970000000003</v>
      </c>
      <c r="E24" s="1" t="s">
        <v>12</v>
      </c>
      <c r="F24" s="1" t="s">
        <v>43</v>
      </c>
      <c r="G24" s="1">
        <v>2.4300000000000002</v>
      </c>
      <c r="H24" s="1" t="s">
        <v>10</v>
      </c>
      <c r="I24" s="1" t="s">
        <v>67</v>
      </c>
    </row>
    <row r="25" spans="1:9" x14ac:dyDescent="0.2">
      <c r="A25" s="1">
        <v>363493</v>
      </c>
      <c r="B25" s="1" t="s">
        <v>31</v>
      </c>
      <c r="C25" s="1">
        <v>39.358759999999997</v>
      </c>
      <c r="D25" s="1">
        <v>-76.573840000000004</v>
      </c>
      <c r="E25" s="1" t="s">
        <v>12</v>
      </c>
      <c r="F25" s="1" t="s">
        <v>43</v>
      </c>
      <c r="G25" s="1">
        <v>1.99</v>
      </c>
      <c r="H25" s="1" t="s">
        <v>10</v>
      </c>
      <c r="I25" s="1" t="s">
        <v>68</v>
      </c>
    </row>
    <row r="26" spans="1:9" x14ac:dyDescent="0.2">
      <c r="A26" s="1">
        <v>363508</v>
      </c>
      <c r="B26" s="1" t="s">
        <v>30</v>
      </c>
      <c r="C26" s="1">
        <v>39.348820000000003</v>
      </c>
      <c r="D26" s="1">
        <v>-76.585080000000005</v>
      </c>
      <c r="E26" s="1" t="s">
        <v>12</v>
      </c>
      <c r="F26" s="1" t="s">
        <v>43</v>
      </c>
      <c r="G26" s="1">
        <v>2.82</v>
      </c>
      <c r="H26" s="1" t="s">
        <v>10</v>
      </c>
      <c r="I26" s="1" t="s">
        <v>69</v>
      </c>
    </row>
    <row r="27" spans="1:9" x14ac:dyDescent="0.2">
      <c r="A27" s="1">
        <v>363526</v>
      </c>
      <c r="B27" s="1" t="s">
        <v>22</v>
      </c>
      <c r="C27" s="1">
        <v>39.33352</v>
      </c>
      <c r="D27" s="1">
        <v>-76.57732</v>
      </c>
      <c r="E27" s="1" t="s">
        <v>12</v>
      </c>
      <c r="F27" s="1" t="s">
        <v>43</v>
      </c>
      <c r="G27" s="1">
        <v>1.7</v>
      </c>
      <c r="H27" s="1" t="s">
        <v>10</v>
      </c>
      <c r="I27" s="1" t="s">
        <v>70</v>
      </c>
    </row>
    <row r="28" spans="1:9" x14ac:dyDescent="0.2">
      <c r="A28" s="1">
        <v>363541</v>
      </c>
      <c r="B28" s="1" t="s">
        <v>21</v>
      </c>
      <c r="C28" s="1">
        <v>39.333770000000001</v>
      </c>
      <c r="D28" s="1">
        <v>-76.577190000000002</v>
      </c>
      <c r="E28" s="1" t="s">
        <v>12</v>
      </c>
      <c r="F28" s="1" t="s">
        <v>43</v>
      </c>
      <c r="G28" s="1">
        <v>2.2799999999999998</v>
      </c>
      <c r="H28" s="1" t="s">
        <v>10</v>
      </c>
      <c r="I28" s="1" t="s">
        <v>71</v>
      </c>
    </row>
    <row r="29" spans="1:9" x14ac:dyDescent="0.2">
      <c r="A29" s="1">
        <v>363559</v>
      </c>
      <c r="B29" s="1" t="s">
        <v>13</v>
      </c>
      <c r="C29" s="1">
        <v>39.343654999999998</v>
      </c>
      <c r="D29" s="1">
        <v>-76.541122000000001</v>
      </c>
      <c r="E29" s="1" t="s">
        <v>12</v>
      </c>
      <c r="F29" s="1" t="s">
        <v>43</v>
      </c>
      <c r="G29" s="1">
        <v>2.2799999999999998</v>
      </c>
      <c r="H29" s="1" t="s">
        <v>10</v>
      </c>
      <c r="I29" s="1" t="s">
        <v>72</v>
      </c>
    </row>
    <row r="30" spans="1:9" x14ac:dyDescent="0.2">
      <c r="A30" s="1">
        <v>363574</v>
      </c>
      <c r="B30" s="1" t="s">
        <v>9</v>
      </c>
      <c r="C30" s="1">
        <v>39.336730000000003</v>
      </c>
      <c r="D30" s="1">
        <v>-76.539670000000001</v>
      </c>
      <c r="E30" s="1" t="s">
        <v>12</v>
      </c>
      <c r="F30" s="1" t="s">
        <v>43</v>
      </c>
      <c r="G30" s="1">
        <v>2.63</v>
      </c>
      <c r="H30" s="1" t="s">
        <v>10</v>
      </c>
      <c r="I30" s="1" t="s">
        <v>73</v>
      </c>
    </row>
    <row r="31" spans="1:9" x14ac:dyDescent="0.2">
      <c r="A31" s="1">
        <v>363591</v>
      </c>
      <c r="B31" s="1" t="s">
        <v>11</v>
      </c>
      <c r="C31" s="1">
        <v>39.330359999999999</v>
      </c>
      <c r="D31" s="1">
        <v>-76.534779999999998</v>
      </c>
      <c r="E31" s="1" t="s">
        <v>12</v>
      </c>
      <c r="F31" s="1" t="s">
        <v>43</v>
      </c>
      <c r="G31" s="1">
        <v>2.17</v>
      </c>
      <c r="H31" s="1" t="s">
        <v>10</v>
      </c>
      <c r="I31" s="1" t="s">
        <v>74</v>
      </c>
    </row>
    <row r="32" spans="1:9" x14ac:dyDescent="0.2">
      <c r="A32" s="1">
        <v>363605</v>
      </c>
      <c r="B32" s="1" t="s">
        <v>14</v>
      </c>
      <c r="C32" s="1">
        <v>39.307839999999999</v>
      </c>
      <c r="D32" s="1">
        <v>-76.556659999999994</v>
      </c>
      <c r="E32" s="1" t="s">
        <v>12</v>
      </c>
      <c r="F32" s="1" t="s">
        <v>43</v>
      </c>
      <c r="G32" s="1">
        <v>0.9</v>
      </c>
      <c r="H32" s="1" t="s">
        <v>10</v>
      </c>
      <c r="I32" s="1" t="s">
        <v>75</v>
      </c>
    </row>
    <row r="33" spans="1:9" x14ac:dyDescent="0.2">
      <c r="A33" s="1">
        <v>363616</v>
      </c>
      <c r="B33" s="1" t="s">
        <v>28</v>
      </c>
      <c r="C33" s="1">
        <v>39.305390000000003</v>
      </c>
      <c r="D33" s="1">
        <v>-76.538600000000002</v>
      </c>
      <c r="E33" s="1" t="s">
        <v>12</v>
      </c>
      <c r="F33" s="1" t="s">
        <v>43</v>
      </c>
      <c r="G33" s="1">
        <v>1.98</v>
      </c>
      <c r="H33" s="1" t="s">
        <v>10</v>
      </c>
      <c r="I33" s="1" t="s">
        <v>76</v>
      </c>
    </row>
    <row r="34" spans="1:9" x14ac:dyDescent="0.2">
      <c r="A34" s="1">
        <v>363627</v>
      </c>
      <c r="B34" s="1" t="s">
        <v>32</v>
      </c>
      <c r="C34" s="1">
        <v>39.308819999999997</v>
      </c>
      <c r="D34" s="1">
        <v>-76.530450000000002</v>
      </c>
      <c r="E34" s="1" t="s">
        <v>12</v>
      </c>
      <c r="F34" s="1" t="s">
        <v>43</v>
      </c>
      <c r="G34" s="1">
        <v>1.69</v>
      </c>
      <c r="H34" s="1" t="s">
        <v>10</v>
      </c>
      <c r="I34" s="1" t="s">
        <v>77</v>
      </c>
    </row>
    <row r="35" spans="1:9" x14ac:dyDescent="0.2">
      <c r="A35" s="1">
        <v>377223</v>
      </c>
      <c r="B35" s="1" t="s">
        <v>78</v>
      </c>
      <c r="C35" s="1">
        <v>39.247151000000002</v>
      </c>
      <c r="D35" s="1">
        <v>-76.612998000000005</v>
      </c>
      <c r="E35" s="1" t="s">
        <v>12</v>
      </c>
      <c r="F35" s="1" t="s">
        <v>43</v>
      </c>
      <c r="G35" s="1">
        <v>0.93</v>
      </c>
      <c r="H35" s="1" t="s">
        <v>10</v>
      </c>
      <c r="I35" s="1" t="s">
        <v>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1BF2B-6902-E448-BCFA-6E4C80D814BC}">
  <dimension ref="A1:M50"/>
  <sheetViews>
    <sheetView zoomScale="84" workbookViewId="0">
      <selection activeCell="P25" sqref="P25"/>
    </sheetView>
  </sheetViews>
  <sheetFormatPr baseColWidth="10" defaultRowHeight="16" x14ac:dyDescent="0.2"/>
  <cols>
    <col min="1" max="1" width="21.6640625" customWidth="1"/>
    <col min="2" max="2" width="20.83203125" customWidth="1"/>
    <col min="3" max="3" width="14.6640625" customWidth="1"/>
    <col min="8" max="8" width="16.33203125" customWidth="1"/>
    <col min="10" max="10" width="26.6640625" customWidth="1"/>
    <col min="11" max="11" width="22" customWidth="1"/>
    <col min="13" max="13" width="19.5" customWidth="1"/>
  </cols>
  <sheetData>
    <row r="1" spans="1:13" x14ac:dyDescent="0.2">
      <c r="D1">
        <v>4</v>
      </c>
    </row>
    <row r="2" spans="1:13" x14ac:dyDescent="0.2">
      <c r="A2" s="4" t="s">
        <v>84</v>
      </c>
      <c r="B2" s="4" t="s">
        <v>1</v>
      </c>
      <c r="C2" s="4" t="s">
        <v>85</v>
      </c>
      <c r="D2" s="4" t="s">
        <v>81</v>
      </c>
    </row>
    <row r="3" spans="1:13" x14ac:dyDescent="0.2">
      <c r="A3">
        <v>1</v>
      </c>
      <c r="B3" t="str">
        <f>VLOOKUP(C3,data,2,0)</f>
        <v>WARNER &amp; ALLUVION</v>
      </c>
      <c r="C3">
        <v>15</v>
      </c>
      <c r="D3">
        <f>VLOOKUP($C3,data,D$1,0)</f>
        <v>-0.74479915234085869</v>
      </c>
      <c r="E3" s="13" t="s">
        <v>99</v>
      </c>
      <c r="F3" s="13"/>
      <c r="G3" s="13"/>
      <c r="H3" s="13"/>
    </row>
    <row r="4" spans="1:13" x14ac:dyDescent="0.2">
      <c r="A4">
        <v>2</v>
      </c>
      <c r="B4" t="str">
        <f>VLOOKUP(C4,data,2,0)</f>
        <v>STONY RUN</v>
      </c>
      <c r="C4">
        <v>12</v>
      </c>
      <c r="D4">
        <f>VLOOKUP($C4,data,D$1,0)</f>
        <v>0.47588301227071733</v>
      </c>
      <c r="E4" s="13" t="s">
        <v>100</v>
      </c>
      <c r="F4" s="13"/>
      <c r="G4" s="13"/>
      <c r="H4" s="13"/>
    </row>
    <row r="5" spans="1:13" x14ac:dyDescent="0.2">
      <c r="A5">
        <v>3</v>
      </c>
      <c r="B5" t="str">
        <f>VLOOKUP(C5,data,2,0)</f>
        <v>LOMBARD ST.</v>
      </c>
      <c r="C5">
        <v>14</v>
      </c>
      <c r="D5">
        <f>VLOOKUP($C5,data,D$1,0)</f>
        <v>3.8028402844473668</v>
      </c>
      <c r="E5" s="13" t="s">
        <v>101</v>
      </c>
      <c r="F5" s="13"/>
      <c r="G5" s="13"/>
      <c r="H5" s="13"/>
    </row>
    <row r="13" spans="1:13" x14ac:dyDescent="0.2">
      <c r="B13" s="7" t="s">
        <v>82</v>
      </c>
      <c r="C13">
        <f>AVERAGE(C17:C50)</f>
        <v>1.9423529411764713</v>
      </c>
      <c r="H13" s="15" t="s">
        <v>91</v>
      </c>
    </row>
    <row r="14" spans="1:13" x14ac:dyDescent="0.2">
      <c r="B14" s="7" t="s">
        <v>83</v>
      </c>
      <c r="C14">
        <f>STDEV(C17:C50)</f>
        <v>0.83559834785049569</v>
      </c>
      <c r="H14">
        <f>SUM(H17:H50)</f>
        <v>5.0889069297224694</v>
      </c>
    </row>
    <row r="16" spans="1:13" x14ac:dyDescent="0.2">
      <c r="A16" s="4" t="s">
        <v>80</v>
      </c>
      <c r="B16" s="4" t="s">
        <v>1</v>
      </c>
      <c r="C16" s="4" t="s">
        <v>6</v>
      </c>
      <c r="D16" s="7" t="s">
        <v>81</v>
      </c>
      <c r="E16" s="7" t="s">
        <v>86</v>
      </c>
      <c r="F16" s="7" t="s">
        <v>87</v>
      </c>
      <c r="G16" s="11" t="s">
        <v>88</v>
      </c>
      <c r="H16" s="15" t="s">
        <v>89</v>
      </c>
      <c r="I16" s="16" t="s">
        <v>90</v>
      </c>
      <c r="J16" s="16" t="s">
        <v>97</v>
      </c>
      <c r="K16" s="16" t="s">
        <v>98</v>
      </c>
      <c r="M16" s="14"/>
    </row>
    <row r="17" spans="1:13" hidden="1" x14ac:dyDescent="0.2">
      <c r="A17" s="5">
        <v>1</v>
      </c>
      <c r="B17" s="6" t="s">
        <v>15</v>
      </c>
      <c r="C17" s="6">
        <v>2.35</v>
      </c>
      <c r="D17" s="8">
        <f>STANDARDIZE(C17,$C$13,$C$14)</f>
        <v>0.48785048447279189</v>
      </c>
      <c r="E17">
        <f>SUMXMY2($D$3,D17)</f>
        <v>1.5194251271368246</v>
      </c>
      <c r="F17">
        <f>SUMXMY2($D$4,D17)</f>
        <v>1.4322039090742728E-4</v>
      </c>
      <c r="G17" s="12">
        <f>SUMXMY2($D$5,D17)</f>
        <v>10.989157373935472</v>
      </c>
      <c r="H17" s="9">
        <f>MIN(E17:G17)</f>
        <v>1.4322039090742728E-4</v>
      </c>
      <c r="I17">
        <f t="shared" ref="I17:I50" si="0">MATCH(H17,E17:G17,0)</f>
        <v>2</v>
      </c>
      <c r="J17" t="str">
        <f>VLOOKUP(Table1[[#This Row],[CLUSTER]],$A$3:$B$5,2,0)</f>
        <v>STONY RUN</v>
      </c>
      <c r="K17" s="6" t="s">
        <v>15</v>
      </c>
      <c r="M17" s="6"/>
    </row>
    <row r="18" spans="1:13" x14ac:dyDescent="0.2">
      <c r="A18" s="5">
        <f>A17+1</f>
        <v>2</v>
      </c>
      <c r="B18" s="6" t="s">
        <v>16</v>
      </c>
      <c r="C18" s="6">
        <v>1.57</v>
      </c>
      <c r="D18" s="9">
        <f t="shared" ref="D18:D50" si="1">STANDARDIZE(C18,$C$13,$C$14)</f>
        <v>-0.44561234728900179</v>
      </c>
      <c r="E18">
        <f t="shared" ref="E18:E50" si="2">SUMXMY2($D$3,D18)</f>
        <v>8.9512744317137835E-2</v>
      </c>
      <c r="F18">
        <f t="shared" ref="F18:F50" si="3">SUMXMY2($D$4,D18)</f>
        <v>0.84915369769009597</v>
      </c>
      <c r="G18" s="12">
        <f t="shared" ref="G18:G49" si="4">SUMXMY2($D$5,D18)</f>
        <v>18.049349764107674</v>
      </c>
      <c r="H18" s="9">
        <f t="shared" ref="H18:H50" si="5">MIN(E18:G18)</f>
        <v>8.9512744317137835E-2</v>
      </c>
      <c r="I18">
        <f t="shared" si="0"/>
        <v>1</v>
      </c>
      <c r="J18" t="str">
        <f>VLOOKUP(Table1[[#This Row],[CLUSTER]],$A$3:$B$5,2,0)</f>
        <v>WARNER &amp; ALLUVION</v>
      </c>
      <c r="K18" s="6" t="s">
        <v>16</v>
      </c>
      <c r="M18" s="6"/>
    </row>
    <row r="19" spans="1:13" x14ac:dyDescent="0.2">
      <c r="A19" s="5">
        <f t="shared" ref="A19:A50" si="6">A18+1</f>
        <v>3</v>
      </c>
      <c r="B19" s="6" t="s">
        <v>17</v>
      </c>
      <c r="C19" s="6">
        <v>1</v>
      </c>
      <c r="D19" s="9">
        <f t="shared" si="1"/>
        <v>-1.1277582628072358</v>
      </c>
      <c r="E19">
        <f t="shared" si="2"/>
        <v>0.14665768028919882</v>
      </c>
      <c r="F19">
        <f t="shared" si="3"/>
        <v>2.5716653391336437</v>
      </c>
      <c r="G19" s="12">
        <f t="shared" si="4"/>
        <v>24.310802034189194</v>
      </c>
      <c r="H19" s="9">
        <f t="shared" si="5"/>
        <v>0.14665768028919882</v>
      </c>
      <c r="I19">
        <f t="shared" si="0"/>
        <v>1</v>
      </c>
      <c r="J19" t="str">
        <f>VLOOKUP(Table1[[#This Row],[CLUSTER]],$A$3:$B$5,2,0)</f>
        <v>WARNER &amp; ALLUVION</v>
      </c>
      <c r="K19" s="6" t="s">
        <v>17</v>
      </c>
      <c r="M19" s="6"/>
    </row>
    <row r="20" spans="1:13" x14ac:dyDescent="0.2">
      <c r="A20" s="5">
        <f t="shared" si="6"/>
        <v>4</v>
      </c>
      <c r="B20" s="6" t="s">
        <v>33</v>
      </c>
      <c r="C20" s="6">
        <v>1.41</v>
      </c>
      <c r="D20" s="9">
        <f t="shared" si="1"/>
        <v>-0.63709190252219039</v>
      </c>
      <c r="E20">
        <f t="shared" si="2"/>
        <v>1.1600851663501024E-2</v>
      </c>
      <c r="F20">
        <f t="shared" si="3"/>
        <v>1.2387131609582804</v>
      </c>
      <c r="G20" s="12">
        <f t="shared" si="4"/>
        <v>19.712997824888273</v>
      </c>
      <c r="H20" s="9">
        <f t="shared" si="5"/>
        <v>1.1600851663501024E-2</v>
      </c>
      <c r="I20">
        <f t="shared" si="0"/>
        <v>1</v>
      </c>
      <c r="J20" t="str">
        <f>VLOOKUP(Table1[[#This Row],[CLUSTER]],$A$3:$B$5,2,0)</f>
        <v>WARNER &amp; ALLUVION</v>
      </c>
      <c r="K20" s="6" t="s">
        <v>33</v>
      </c>
      <c r="M20" s="6"/>
    </row>
    <row r="21" spans="1:13" hidden="1" x14ac:dyDescent="0.2">
      <c r="A21" s="5">
        <f t="shared" si="6"/>
        <v>5</v>
      </c>
      <c r="B21" s="6" t="s">
        <v>34</v>
      </c>
      <c r="C21" s="6">
        <v>2.14</v>
      </c>
      <c r="D21" s="9">
        <f t="shared" si="1"/>
        <v>0.23653356822923211</v>
      </c>
      <c r="E21">
        <f t="shared" si="2"/>
        <v>0.96301390846149593</v>
      </c>
      <c r="F21">
        <f t="shared" si="3"/>
        <v>5.7288156362968065E-2</v>
      </c>
      <c r="G21" s="12">
        <f t="shared" si="4"/>
        <v>12.718543594142574</v>
      </c>
      <c r="H21" s="9">
        <f t="shared" si="5"/>
        <v>5.7288156362968065E-2</v>
      </c>
      <c r="I21">
        <f t="shared" si="0"/>
        <v>2</v>
      </c>
      <c r="J21" t="str">
        <f>VLOOKUP(Table1[[#This Row],[CLUSTER]],$A$3:$B$5,2,0)</f>
        <v>STONY RUN</v>
      </c>
      <c r="K21" s="6" t="s">
        <v>34</v>
      </c>
      <c r="M21" s="6"/>
    </row>
    <row r="22" spans="1:13" x14ac:dyDescent="0.2">
      <c r="A22" s="5">
        <f t="shared" si="6"/>
        <v>6</v>
      </c>
      <c r="B22" s="6" t="s">
        <v>23</v>
      </c>
      <c r="C22" s="6">
        <v>1.66</v>
      </c>
      <c r="D22" s="9">
        <f t="shared" si="1"/>
        <v>-0.33790509747033348</v>
      </c>
      <c r="E22">
        <f t="shared" si="2"/>
        <v>0.16556277188897797</v>
      </c>
      <c r="F22">
        <f t="shared" si="3"/>
        <v>0.66225108755591267</v>
      </c>
      <c r="G22" s="12">
        <f t="shared" si="4"/>
        <v>17.145772317872758</v>
      </c>
      <c r="H22" s="9">
        <f t="shared" si="5"/>
        <v>0.16556277188897797</v>
      </c>
      <c r="I22">
        <f t="shared" si="0"/>
        <v>1</v>
      </c>
      <c r="J22" t="str">
        <f>VLOOKUP(Table1[[#This Row],[CLUSTER]],$A$3:$B$5,2,0)</f>
        <v>WARNER &amp; ALLUVION</v>
      </c>
      <c r="K22" s="6" t="s">
        <v>23</v>
      </c>
      <c r="M22" s="6"/>
    </row>
    <row r="23" spans="1:13" hidden="1" x14ac:dyDescent="0.2">
      <c r="A23" s="5">
        <f t="shared" si="6"/>
        <v>7</v>
      </c>
      <c r="B23" s="6" t="s">
        <v>24</v>
      </c>
      <c r="C23" s="6">
        <v>1.98</v>
      </c>
      <c r="D23" s="9">
        <f t="shared" si="1"/>
        <v>4.5054012996043488E-2</v>
      </c>
      <c r="E23">
        <f t="shared" si="2"/>
        <v>0.6238680227927238</v>
      </c>
      <c r="F23">
        <f t="shared" si="3"/>
        <v>0.18561362661601691</v>
      </c>
      <c r="G23" s="12">
        <f t="shared" si="4"/>
        <v>14.12095766190804</v>
      </c>
      <c r="H23" s="9">
        <f t="shared" si="5"/>
        <v>0.18561362661601691</v>
      </c>
      <c r="I23">
        <f t="shared" si="0"/>
        <v>2</v>
      </c>
      <c r="J23" t="str">
        <f>VLOOKUP(Table1[[#This Row],[CLUSTER]],$A$3:$B$5,2,0)</f>
        <v>STONY RUN</v>
      </c>
      <c r="K23" s="6" t="s">
        <v>24</v>
      </c>
      <c r="M23" s="6"/>
    </row>
    <row r="24" spans="1:13" x14ac:dyDescent="0.2">
      <c r="A24" s="5">
        <f t="shared" si="6"/>
        <v>8</v>
      </c>
      <c r="B24" s="6" t="s">
        <v>26</v>
      </c>
      <c r="C24" s="6">
        <v>1.38</v>
      </c>
      <c r="D24" s="9">
        <f t="shared" si="1"/>
        <v>-0.67299431912841323</v>
      </c>
      <c r="E24">
        <f t="shared" si="2"/>
        <v>5.1559340726671111E-3</v>
      </c>
      <c r="F24">
        <f t="shared" si="3"/>
        <v>1.3199191226027875</v>
      </c>
      <c r="G24" s="12">
        <f t="shared" si="4"/>
        <v>20.033095398566363</v>
      </c>
      <c r="H24" s="9">
        <f t="shared" si="5"/>
        <v>5.1559340726671111E-3</v>
      </c>
      <c r="I24">
        <f t="shared" si="0"/>
        <v>1</v>
      </c>
      <c r="J24" t="str">
        <f>VLOOKUP(Table1[[#This Row],[CLUSTER]],$A$3:$B$5,2,0)</f>
        <v>WARNER &amp; ALLUVION</v>
      </c>
      <c r="K24" s="6" t="s">
        <v>26</v>
      </c>
      <c r="M24" s="6"/>
    </row>
    <row r="25" spans="1:13" hidden="1" x14ac:dyDescent="0.2">
      <c r="A25" s="5">
        <f t="shared" si="6"/>
        <v>9</v>
      </c>
      <c r="B25" s="6" t="s">
        <v>27</v>
      </c>
      <c r="C25" s="6">
        <v>1.94</v>
      </c>
      <c r="D25" s="9">
        <f t="shared" si="1"/>
        <v>-2.8158758122536647E-3</v>
      </c>
      <c r="E25">
        <f t="shared" si="2"/>
        <v>0.5505391826481244</v>
      </c>
      <c r="F25">
        <f t="shared" si="3"/>
        <v>0.22915262545187282</v>
      </c>
      <c r="G25" s="12">
        <f t="shared" si="4"/>
        <v>14.483018810121999</v>
      </c>
      <c r="H25" s="9">
        <f t="shared" si="5"/>
        <v>0.22915262545187282</v>
      </c>
      <c r="I25">
        <f t="shared" si="0"/>
        <v>2</v>
      </c>
      <c r="J25" t="str">
        <f>VLOOKUP(Table1[[#This Row],[CLUSTER]],$A$3:$B$5,2,0)</f>
        <v>STONY RUN</v>
      </c>
      <c r="K25" s="6" t="s">
        <v>27</v>
      </c>
      <c r="M25" s="6"/>
    </row>
    <row r="26" spans="1:13" x14ac:dyDescent="0.2">
      <c r="A26" s="5">
        <f t="shared" si="6"/>
        <v>10</v>
      </c>
      <c r="B26" s="6" t="s">
        <v>18</v>
      </c>
      <c r="C26" s="6">
        <v>1.5</v>
      </c>
      <c r="D26" s="9">
        <f t="shared" si="1"/>
        <v>-0.52938465270352186</v>
      </c>
      <c r="E26">
        <f t="shared" si="2"/>
        <v>4.6403406654004192E-2</v>
      </c>
      <c r="F26">
        <f t="shared" si="3"/>
        <v>1.010563078242759</v>
      </c>
      <c r="G26" s="12">
        <f t="shared" si="4"/>
        <v>18.768172906072021</v>
      </c>
      <c r="H26" s="9">
        <f t="shared" si="5"/>
        <v>4.6403406654004192E-2</v>
      </c>
      <c r="I26">
        <f t="shared" si="0"/>
        <v>1</v>
      </c>
      <c r="J26" t="str">
        <f>VLOOKUP(Table1[[#This Row],[CLUSTER]],$A$3:$B$5,2,0)</f>
        <v>WARNER &amp; ALLUVION</v>
      </c>
      <c r="K26" s="6" t="s">
        <v>18</v>
      </c>
      <c r="M26" s="6"/>
    </row>
    <row r="27" spans="1:13" x14ac:dyDescent="0.2">
      <c r="A27" s="5">
        <f t="shared" si="6"/>
        <v>11</v>
      </c>
      <c r="B27" s="6" t="s">
        <v>20</v>
      </c>
      <c r="C27" s="6">
        <v>1.64</v>
      </c>
      <c r="D27" s="9">
        <f t="shared" si="1"/>
        <v>-0.36184004187448204</v>
      </c>
      <c r="E27">
        <f t="shared" si="2"/>
        <v>0.14665768028919848</v>
      </c>
      <c r="F27">
        <f t="shared" si="3"/>
        <v>0.70177991544636076</v>
      </c>
      <c r="G27" s="12">
        <f t="shared" si="4"/>
        <v>17.344562220452257</v>
      </c>
      <c r="H27" s="9">
        <f t="shared" si="5"/>
        <v>0.14665768028919848</v>
      </c>
      <c r="I27">
        <f t="shared" si="0"/>
        <v>1</v>
      </c>
      <c r="J27" t="str">
        <f>VLOOKUP(Table1[[#This Row],[CLUSTER]],$A$3:$B$5,2,0)</f>
        <v>WARNER &amp; ALLUVION</v>
      </c>
      <c r="K27" s="6" t="s">
        <v>20</v>
      </c>
      <c r="M27" s="6"/>
    </row>
    <row r="28" spans="1:13" hidden="1" x14ac:dyDescent="0.2">
      <c r="A28" s="5">
        <f t="shared" si="6"/>
        <v>12</v>
      </c>
      <c r="B28" s="6" t="s">
        <v>19</v>
      </c>
      <c r="C28" s="6">
        <v>2.34</v>
      </c>
      <c r="D28" s="9">
        <f t="shared" si="1"/>
        <v>0.47588301227071733</v>
      </c>
      <c r="E28">
        <f t="shared" si="2"/>
        <v>1.4900649470008027</v>
      </c>
      <c r="F28">
        <f t="shared" si="3"/>
        <v>0</v>
      </c>
      <c r="G28" s="12">
        <f t="shared" si="4"/>
        <v>11.068644690889093</v>
      </c>
      <c r="H28" s="9">
        <f t="shared" si="5"/>
        <v>0</v>
      </c>
      <c r="I28">
        <f t="shared" si="0"/>
        <v>2</v>
      </c>
      <c r="J28" t="str">
        <f>VLOOKUP(Table1[[#This Row],[CLUSTER]],$A$3:$B$5,2,0)</f>
        <v>STONY RUN</v>
      </c>
      <c r="K28" s="6" t="s">
        <v>19</v>
      </c>
      <c r="M28" s="6"/>
    </row>
    <row r="29" spans="1:13" hidden="1" x14ac:dyDescent="0.2">
      <c r="A29" s="5">
        <f t="shared" si="6"/>
        <v>13</v>
      </c>
      <c r="B29" s="6" t="s">
        <v>44</v>
      </c>
      <c r="C29" s="6">
        <v>2.89</v>
      </c>
      <c r="D29" s="9">
        <f t="shared" si="1"/>
        <v>1.1340939833848029</v>
      </c>
      <c r="E29">
        <f t="shared" si="2"/>
        <v>3.5302394154770091</v>
      </c>
      <c r="F29">
        <f t="shared" si="3"/>
        <v>0.43324168249494754</v>
      </c>
      <c r="G29" s="12">
        <f t="shared" si="4"/>
        <v>7.1222068194351165</v>
      </c>
      <c r="H29" s="9">
        <f t="shared" si="5"/>
        <v>0.43324168249494754</v>
      </c>
      <c r="I29">
        <f t="shared" si="0"/>
        <v>2</v>
      </c>
      <c r="J29" t="str">
        <f>VLOOKUP(Table1[[#This Row],[CLUSTER]],$A$3:$B$5,2,0)</f>
        <v>STONY RUN</v>
      </c>
      <c r="K29" s="6" t="s">
        <v>44</v>
      </c>
      <c r="M29" s="6"/>
    </row>
    <row r="30" spans="1:13" hidden="1" x14ac:dyDescent="0.2">
      <c r="A30" s="5">
        <f t="shared" si="6"/>
        <v>14</v>
      </c>
      <c r="B30" s="6" t="s">
        <v>25</v>
      </c>
      <c r="C30" s="6">
        <v>5.12</v>
      </c>
      <c r="D30" s="9">
        <f t="shared" si="1"/>
        <v>3.8028402844473668</v>
      </c>
      <c r="E30">
        <f t="shared" si="2"/>
        <v>20.681024447031529</v>
      </c>
      <c r="F30">
        <f t="shared" si="3"/>
        <v>11.068644690889093</v>
      </c>
      <c r="G30" s="12">
        <f t="shared" si="4"/>
        <v>0</v>
      </c>
      <c r="H30" s="9">
        <f t="shared" si="5"/>
        <v>0</v>
      </c>
      <c r="I30">
        <f t="shared" si="0"/>
        <v>3</v>
      </c>
      <c r="J30" t="str">
        <f>VLOOKUP(Table1[[#This Row],[CLUSTER]],$A$3:$B$5,2,0)</f>
        <v>LOMBARD ST.</v>
      </c>
      <c r="K30" s="6" t="s">
        <v>25</v>
      </c>
      <c r="M30" s="6"/>
    </row>
    <row r="31" spans="1:13" x14ac:dyDescent="0.2">
      <c r="A31" s="5">
        <f t="shared" si="6"/>
        <v>15</v>
      </c>
      <c r="B31" s="6" t="s">
        <v>36</v>
      </c>
      <c r="C31" s="6">
        <v>1.32</v>
      </c>
      <c r="D31" s="9">
        <f t="shared" si="1"/>
        <v>-0.74479915234085869</v>
      </c>
      <c r="E31">
        <f t="shared" si="2"/>
        <v>0</v>
      </c>
      <c r="F31">
        <f t="shared" si="3"/>
        <v>1.4900649470008027</v>
      </c>
      <c r="G31" s="12">
        <f t="shared" si="4"/>
        <v>20.681024447031529</v>
      </c>
      <c r="H31" s="9">
        <f t="shared" si="5"/>
        <v>0</v>
      </c>
      <c r="I31">
        <f t="shared" si="0"/>
        <v>1</v>
      </c>
      <c r="J31" t="str">
        <f>VLOOKUP(Table1[[#This Row],[CLUSTER]],$A$3:$B$5,2,0)</f>
        <v>WARNER &amp; ALLUVION</v>
      </c>
      <c r="K31" s="6" t="s">
        <v>36</v>
      </c>
      <c r="M31" s="6"/>
    </row>
    <row r="32" spans="1:13" hidden="1" x14ac:dyDescent="0.2">
      <c r="A32" s="5">
        <f t="shared" si="6"/>
        <v>16</v>
      </c>
      <c r="B32" s="6" t="s">
        <v>38</v>
      </c>
      <c r="C32" s="6">
        <v>2.52</v>
      </c>
      <c r="D32" s="9">
        <f t="shared" si="1"/>
        <v>0.69129751190805455</v>
      </c>
      <c r="E32">
        <f t="shared" si="2"/>
        <v>2.062373629066856</v>
      </c>
      <c r="F32">
        <f t="shared" si="3"/>
        <v>4.6403406654004359E-2</v>
      </c>
      <c r="G32" s="12">
        <f t="shared" si="4"/>
        <v>9.6816984253416294</v>
      </c>
      <c r="H32" s="9">
        <f t="shared" si="5"/>
        <v>4.6403406654004359E-2</v>
      </c>
      <c r="I32">
        <f t="shared" si="0"/>
        <v>2</v>
      </c>
      <c r="J32" t="str">
        <f>VLOOKUP(Table1[[#This Row],[CLUSTER]],$A$3:$B$5,2,0)</f>
        <v>STONY RUN</v>
      </c>
      <c r="K32" s="6" t="s">
        <v>38</v>
      </c>
      <c r="M32" s="6"/>
    </row>
    <row r="33" spans="1:13" hidden="1" x14ac:dyDescent="0.2">
      <c r="A33" s="5">
        <f t="shared" si="6"/>
        <v>17</v>
      </c>
      <c r="B33" s="6" t="s">
        <v>40</v>
      </c>
      <c r="C33" s="6">
        <v>2.06</v>
      </c>
      <c r="D33" s="9">
        <f t="shared" si="1"/>
        <v>0.1407937906126378</v>
      </c>
      <c r="E33">
        <f t="shared" si="2"/>
        <v>0.78427486060903495</v>
      </c>
      <c r="F33">
        <f t="shared" si="3"/>
        <v>0.11228478647141756</v>
      </c>
      <c r="G33" s="12">
        <f t="shared" si="4"/>
        <v>13.41058452300723</v>
      </c>
      <c r="H33" s="9">
        <f t="shared" si="5"/>
        <v>0.11228478647141756</v>
      </c>
      <c r="I33">
        <f t="shared" si="0"/>
        <v>2</v>
      </c>
      <c r="J33" t="str">
        <f>VLOOKUP(Table1[[#This Row],[CLUSTER]],$A$3:$B$5,2,0)</f>
        <v>STONY RUN</v>
      </c>
      <c r="K33" s="6" t="s">
        <v>40</v>
      </c>
      <c r="M33" s="6"/>
    </row>
    <row r="34" spans="1:13" x14ac:dyDescent="0.2">
      <c r="A34" s="5">
        <f t="shared" si="6"/>
        <v>18</v>
      </c>
      <c r="B34" s="6" t="s">
        <v>35</v>
      </c>
      <c r="C34" s="6">
        <v>1.02</v>
      </c>
      <c r="D34" s="9">
        <f t="shared" si="1"/>
        <v>-1.1038233184030872</v>
      </c>
      <c r="E34">
        <f t="shared" si="2"/>
        <v>0.12889835181667866</v>
      </c>
      <c r="F34">
        <f t="shared" si="3"/>
        <v>2.4954720911708956</v>
      </c>
      <c r="G34" s="12">
        <f>SUMXMY2($D$5,D34)</f>
        <v>24.075347711537397</v>
      </c>
      <c r="H34" s="9">
        <f t="shared" si="5"/>
        <v>0.12889835181667866</v>
      </c>
      <c r="I34">
        <f t="shared" si="0"/>
        <v>1</v>
      </c>
      <c r="J34" t="str">
        <f>VLOOKUP(Table1[[#This Row],[CLUSTER]],$A$3:$B$5,2,0)</f>
        <v>WARNER &amp; ALLUVION</v>
      </c>
      <c r="K34" s="6" t="s">
        <v>35</v>
      </c>
      <c r="M34" s="6"/>
    </row>
    <row r="35" spans="1:13" x14ac:dyDescent="0.2">
      <c r="A35" s="5">
        <f t="shared" si="6"/>
        <v>19</v>
      </c>
      <c r="B35" s="6" t="s">
        <v>37</v>
      </c>
      <c r="C35" s="6">
        <v>0.73</v>
      </c>
      <c r="D35" s="9">
        <f t="shared" si="1"/>
        <v>-1.4508800122632413</v>
      </c>
      <c r="E35">
        <f t="shared" si="2"/>
        <v>0.49855018074873125</v>
      </c>
      <c r="F35">
        <f t="shared" si="3"/>
        <v>3.712415752711248</v>
      </c>
      <c r="G35" s="12">
        <f t="shared" si="4"/>
        <v>27.601576956068996</v>
      </c>
      <c r="H35" s="9">
        <f t="shared" si="5"/>
        <v>0.49855018074873125</v>
      </c>
      <c r="I35">
        <f t="shared" si="0"/>
        <v>1</v>
      </c>
      <c r="J35" t="str">
        <f>VLOOKUP(Table1[[#This Row],[CLUSTER]],$A$3:$B$5,2,0)</f>
        <v>WARNER &amp; ALLUVION</v>
      </c>
      <c r="K35" s="6" t="s">
        <v>37</v>
      </c>
      <c r="M35" s="6"/>
    </row>
    <row r="36" spans="1:13" hidden="1" x14ac:dyDescent="0.2">
      <c r="A36" s="5">
        <f t="shared" si="6"/>
        <v>20</v>
      </c>
      <c r="B36" s="6" t="s">
        <v>41</v>
      </c>
      <c r="C36" s="6">
        <v>2.79</v>
      </c>
      <c r="D36" s="9">
        <f t="shared" si="1"/>
        <v>1.0144192613640601</v>
      </c>
      <c r="E36">
        <f t="shared" si="2"/>
        <v>3.0948494271184512</v>
      </c>
      <c r="F36">
        <f t="shared" si="3"/>
        <v>0.29002129158752693</v>
      </c>
      <c r="G36" s="12">
        <f t="shared" si="4"/>
        <v>7.7752918019729531</v>
      </c>
      <c r="H36" s="9">
        <f t="shared" si="5"/>
        <v>0.29002129158752693</v>
      </c>
      <c r="I36">
        <f t="shared" si="0"/>
        <v>2</v>
      </c>
      <c r="J36" t="str">
        <f>VLOOKUP(Table1[[#This Row],[CLUSTER]],$A$3:$B$5,2,0)</f>
        <v>STONY RUN</v>
      </c>
      <c r="K36" s="6" t="s">
        <v>41</v>
      </c>
      <c r="M36" s="6"/>
    </row>
    <row r="37" spans="1:13" hidden="1" x14ac:dyDescent="0.2">
      <c r="A37" s="5">
        <f t="shared" si="6"/>
        <v>21</v>
      </c>
      <c r="B37" s="6" t="s">
        <v>42</v>
      </c>
      <c r="C37" s="6">
        <v>2.2799999999999998</v>
      </c>
      <c r="D37" s="9">
        <f t="shared" si="1"/>
        <v>0.40407817905827159</v>
      </c>
      <c r="E37">
        <f t="shared" si="2"/>
        <v>1.3199191226027871</v>
      </c>
      <c r="F37">
        <f t="shared" si="3"/>
        <v>5.155934072667151E-3</v>
      </c>
      <c r="G37" s="12">
        <f t="shared" si="4"/>
        <v>11.551583849028916</v>
      </c>
      <c r="H37" s="9">
        <f t="shared" si="5"/>
        <v>5.155934072667151E-3</v>
      </c>
      <c r="I37">
        <f t="shared" si="0"/>
        <v>2</v>
      </c>
      <c r="J37" t="str">
        <f>VLOOKUP(Table1[[#This Row],[CLUSTER]],$A$3:$B$5,2,0)</f>
        <v>STONY RUN</v>
      </c>
      <c r="K37" s="6" t="s">
        <v>42</v>
      </c>
      <c r="M37" s="6"/>
    </row>
    <row r="38" spans="1:13" x14ac:dyDescent="0.2">
      <c r="A38" s="5">
        <f t="shared" si="6"/>
        <v>22</v>
      </c>
      <c r="B38" s="6" t="s">
        <v>39</v>
      </c>
      <c r="C38" s="6">
        <v>0.6</v>
      </c>
      <c r="D38" s="9">
        <f t="shared" si="1"/>
        <v>-1.606457150890207</v>
      </c>
      <c r="E38">
        <f t="shared" si="2"/>
        <v>0.74245450646406874</v>
      </c>
      <c r="F38">
        <f t="shared" si="3"/>
        <v>4.3361405551130643</v>
      </c>
      <c r="G38" s="12">
        <f t="shared" si="4"/>
        <v>29.26049874394965</v>
      </c>
      <c r="H38" s="9">
        <f t="shared" si="5"/>
        <v>0.74245450646406874</v>
      </c>
      <c r="I38">
        <f t="shared" si="0"/>
        <v>1</v>
      </c>
      <c r="J38" t="str">
        <f>VLOOKUP(Table1[[#This Row],[CLUSTER]],$A$3:$B$5,2,0)</f>
        <v>WARNER &amp; ALLUVION</v>
      </c>
      <c r="K38" s="6" t="s">
        <v>39</v>
      </c>
      <c r="M38" s="6"/>
    </row>
    <row r="39" spans="1:13" hidden="1" x14ac:dyDescent="0.2">
      <c r="A39" s="5">
        <f t="shared" si="6"/>
        <v>23</v>
      </c>
      <c r="B39" s="6" t="s">
        <v>29</v>
      </c>
      <c r="C39" s="6">
        <v>2.4300000000000002</v>
      </c>
      <c r="D39" s="9">
        <f t="shared" si="1"/>
        <v>0.58359026208938625</v>
      </c>
      <c r="E39">
        <f t="shared" si="2"/>
        <v>1.7646184363703288</v>
      </c>
      <c r="F39">
        <f t="shared" si="3"/>
        <v>1.1600851663501156E-2</v>
      </c>
      <c r="G39" s="12">
        <f t="shared" si="4"/>
        <v>10.363570706451858</v>
      </c>
      <c r="H39" s="9">
        <f t="shared" si="5"/>
        <v>1.1600851663501156E-2</v>
      </c>
      <c r="I39">
        <f t="shared" si="0"/>
        <v>2</v>
      </c>
      <c r="J39" t="str">
        <f>VLOOKUP(Table1[[#This Row],[CLUSTER]],$A$3:$B$5,2,0)</f>
        <v>STONY RUN</v>
      </c>
      <c r="K39" s="6" t="s">
        <v>29</v>
      </c>
      <c r="M39" s="6"/>
    </row>
    <row r="40" spans="1:13" hidden="1" x14ac:dyDescent="0.2">
      <c r="A40" s="5">
        <f t="shared" si="6"/>
        <v>24</v>
      </c>
      <c r="B40" s="6" t="s">
        <v>31</v>
      </c>
      <c r="C40" s="6">
        <v>1.99</v>
      </c>
      <c r="D40" s="9">
        <f t="shared" si="1"/>
        <v>5.7021485198117776E-2</v>
      </c>
      <c r="E40">
        <f t="shared" si="2"/>
        <v>0.6429163347834107</v>
      </c>
      <c r="F40">
        <f t="shared" si="3"/>
        <v>0.17544497886159005</v>
      </c>
      <c r="G40" s="12">
        <f t="shared" si="4"/>
        <v>14.031158476809084</v>
      </c>
      <c r="H40" s="9">
        <f t="shared" si="5"/>
        <v>0.17544497886159005</v>
      </c>
      <c r="I40">
        <f t="shared" si="0"/>
        <v>2</v>
      </c>
      <c r="J40" t="str">
        <f>VLOOKUP(Table1[[#This Row],[CLUSTER]],$A$3:$B$5,2,0)</f>
        <v>STONY RUN</v>
      </c>
      <c r="K40" s="6" t="s">
        <v>31</v>
      </c>
      <c r="M40" s="6"/>
    </row>
    <row r="41" spans="1:13" hidden="1" x14ac:dyDescent="0.2">
      <c r="A41" s="5">
        <f t="shared" si="6"/>
        <v>25</v>
      </c>
      <c r="B41" s="6" t="s">
        <v>30</v>
      </c>
      <c r="C41" s="6">
        <v>2.82</v>
      </c>
      <c r="D41" s="9">
        <f t="shared" si="1"/>
        <v>1.0503216779702826</v>
      </c>
      <c r="E41">
        <f t="shared" si="2"/>
        <v>3.2224587954169617</v>
      </c>
      <c r="F41">
        <f t="shared" si="3"/>
        <v>0.32997978065069689</v>
      </c>
      <c r="G41" s="12">
        <f t="shared" si="4"/>
        <v>7.5763586790025483</v>
      </c>
      <c r="H41" s="9">
        <f t="shared" si="5"/>
        <v>0.32997978065069689</v>
      </c>
      <c r="I41">
        <f t="shared" si="0"/>
        <v>2</v>
      </c>
      <c r="J41" t="str">
        <f>VLOOKUP(Table1[[#This Row],[CLUSTER]],$A$3:$B$5,2,0)</f>
        <v>STONY RUN</v>
      </c>
      <c r="K41" s="6" t="s">
        <v>30</v>
      </c>
      <c r="M41" s="6"/>
    </row>
    <row r="42" spans="1:13" x14ac:dyDescent="0.2">
      <c r="A42" s="5">
        <f t="shared" si="6"/>
        <v>26</v>
      </c>
      <c r="B42" s="6" t="s">
        <v>22</v>
      </c>
      <c r="C42" s="6">
        <v>1.7</v>
      </c>
      <c r="D42" s="9">
        <f t="shared" si="1"/>
        <v>-0.2900352086620363</v>
      </c>
      <c r="E42">
        <f t="shared" si="2"/>
        <v>0.20681024447031515</v>
      </c>
      <c r="F42">
        <f t="shared" si="3"/>
        <v>0.58663072115679438</v>
      </c>
      <c r="G42" s="12">
        <f t="shared" si="4"/>
        <v>16.751629802095543</v>
      </c>
      <c r="H42" s="9">
        <f t="shared" si="5"/>
        <v>0.20681024447031515</v>
      </c>
      <c r="I42">
        <f t="shared" si="0"/>
        <v>1</v>
      </c>
      <c r="J42" t="str">
        <f>VLOOKUP(Table1[[#This Row],[CLUSTER]],$A$3:$B$5,2,0)</f>
        <v>WARNER &amp; ALLUVION</v>
      </c>
      <c r="K42" s="6" t="s">
        <v>22</v>
      </c>
      <c r="M42" s="6"/>
    </row>
    <row r="43" spans="1:13" hidden="1" x14ac:dyDescent="0.2">
      <c r="A43" s="5">
        <f t="shared" si="6"/>
        <v>27</v>
      </c>
      <c r="B43" s="6" t="s">
        <v>21</v>
      </c>
      <c r="C43" s="6">
        <v>2.2799999999999998</v>
      </c>
      <c r="D43" s="9">
        <f t="shared" si="1"/>
        <v>0.40407817905827159</v>
      </c>
      <c r="E43">
        <f t="shared" si="2"/>
        <v>1.3199191226027871</v>
      </c>
      <c r="F43">
        <f t="shared" si="3"/>
        <v>5.155934072667151E-3</v>
      </c>
      <c r="G43" s="12">
        <f t="shared" si="4"/>
        <v>11.551583849028916</v>
      </c>
      <c r="H43" s="9">
        <f t="shared" si="5"/>
        <v>5.155934072667151E-3</v>
      </c>
      <c r="I43">
        <f t="shared" si="0"/>
        <v>2</v>
      </c>
      <c r="J43" t="str">
        <f>VLOOKUP(Table1[[#This Row],[CLUSTER]],$A$3:$B$5,2,0)</f>
        <v>STONY RUN</v>
      </c>
      <c r="K43" s="6" t="s">
        <v>21</v>
      </c>
      <c r="M43" s="6"/>
    </row>
    <row r="44" spans="1:13" hidden="1" x14ac:dyDescent="0.2">
      <c r="A44" s="5">
        <f t="shared" si="6"/>
        <v>28</v>
      </c>
      <c r="B44" s="6" t="s">
        <v>13</v>
      </c>
      <c r="C44" s="6">
        <v>2.2799999999999998</v>
      </c>
      <c r="D44" s="9">
        <f t="shared" si="1"/>
        <v>0.40407817905827159</v>
      </c>
      <c r="E44">
        <f t="shared" si="2"/>
        <v>1.3199191226027871</v>
      </c>
      <c r="F44">
        <f t="shared" si="3"/>
        <v>5.155934072667151E-3</v>
      </c>
      <c r="G44" s="12">
        <f t="shared" si="4"/>
        <v>11.551583849028916</v>
      </c>
      <c r="H44" s="9">
        <f t="shared" si="5"/>
        <v>5.155934072667151E-3</v>
      </c>
      <c r="I44">
        <f t="shared" si="0"/>
        <v>2</v>
      </c>
      <c r="J44" t="str">
        <f>VLOOKUP(Table1[[#This Row],[CLUSTER]],$A$3:$B$5,2,0)</f>
        <v>STONY RUN</v>
      </c>
      <c r="K44" s="6" t="s">
        <v>13</v>
      </c>
      <c r="M44" s="6"/>
    </row>
    <row r="45" spans="1:13" hidden="1" x14ac:dyDescent="0.2">
      <c r="A45" s="5">
        <f t="shared" si="6"/>
        <v>29</v>
      </c>
      <c r="B45" s="6" t="s">
        <v>9</v>
      </c>
      <c r="C45" s="6">
        <v>2.63</v>
      </c>
      <c r="D45" s="9">
        <f t="shared" si="1"/>
        <v>0.82293970613087142</v>
      </c>
      <c r="E45">
        <f t="shared" si="2"/>
        <v>2.4578051283622431</v>
      </c>
      <c r="F45">
        <f t="shared" si="3"/>
        <v>0.12044834875314071</v>
      </c>
      <c r="G45" s="12">
        <f t="shared" si="4"/>
        <v>8.8798074566509833</v>
      </c>
      <c r="H45" s="9">
        <f t="shared" si="5"/>
        <v>0.12044834875314071</v>
      </c>
      <c r="I45">
        <f t="shared" si="0"/>
        <v>2</v>
      </c>
      <c r="J45" t="str">
        <f>VLOOKUP(Table1[[#This Row],[CLUSTER]],$A$3:$B$5,2,0)</f>
        <v>STONY RUN</v>
      </c>
      <c r="K45" s="6" t="s">
        <v>9</v>
      </c>
      <c r="M45" s="6"/>
    </row>
    <row r="46" spans="1:13" hidden="1" x14ac:dyDescent="0.2">
      <c r="A46" s="5">
        <f t="shared" si="6"/>
        <v>30</v>
      </c>
      <c r="B46" s="6" t="s">
        <v>11</v>
      </c>
      <c r="C46" s="6">
        <v>2.17</v>
      </c>
      <c r="D46" s="9">
        <f t="shared" si="1"/>
        <v>0.27243598483545473</v>
      </c>
      <c r="E46">
        <f t="shared" si="2"/>
        <v>1.0347673243061128</v>
      </c>
      <c r="F46">
        <f t="shared" si="3"/>
        <v>4.1390692972244493E-2</v>
      </c>
      <c r="G46" s="12">
        <f t="shared" si="4"/>
        <v>12.463754518718275</v>
      </c>
      <c r="H46" s="9">
        <f t="shared" si="5"/>
        <v>4.1390692972244493E-2</v>
      </c>
      <c r="I46">
        <f t="shared" si="0"/>
        <v>2</v>
      </c>
      <c r="J46" t="str">
        <f>VLOOKUP(Table1[[#This Row],[CLUSTER]],$A$3:$B$5,2,0)</f>
        <v>STONY RUN</v>
      </c>
      <c r="K46" s="6" t="s">
        <v>11</v>
      </c>
      <c r="M46" s="6"/>
    </row>
    <row r="47" spans="1:13" x14ac:dyDescent="0.2">
      <c r="A47" s="5">
        <f t="shared" si="6"/>
        <v>31</v>
      </c>
      <c r="B47" s="6" t="s">
        <v>14</v>
      </c>
      <c r="C47" s="6">
        <v>0.9</v>
      </c>
      <c r="D47" s="9">
        <f t="shared" si="1"/>
        <v>-1.2474329848279784</v>
      </c>
      <c r="E47">
        <f t="shared" si="2"/>
        <v>0.25264076956068987</v>
      </c>
      <c r="F47">
        <f t="shared" si="3"/>
        <v>2.9698180258562719</v>
      </c>
      <c r="G47" s="12">
        <f t="shared" si="4"/>
        <v>25.50526009435708</v>
      </c>
      <c r="H47" s="9">
        <f t="shared" si="5"/>
        <v>0.25264076956068987</v>
      </c>
      <c r="I47">
        <f t="shared" si="0"/>
        <v>1</v>
      </c>
      <c r="J47" t="str">
        <f>VLOOKUP(Table1[[#This Row],[CLUSTER]],$A$3:$B$5,2,0)</f>
        <v>WARNER &amp; ALLUVION</v>
      </c>
      <c r="K47" s="6" t="s">
        <v>14</v>
      </c>
      <c r="M47" s="6"/>
    </row>
    <row r="48" spans="1:13" hidden="1" x14ac:dyDescent="0.2">
      <c r="A48" s="5">
        <f t="shared" si="6"/>
        <v>32</v>
      </c>
      <c r="B48" s="6" t="s">
        <v>28</v>
      </c>
      <c r="C48" s="6">
        <v>1.98</v>
      </c>
      <c r="D48" s="9">
        <f t="shared" si="1"/>
        <v>4.5054012996043488E-2</v>
      </c>
      <c r="E48">
        <f t="shared" si="2"/>
        <v>0.6238680227927238</v>
      </c>
      <c r="F48">
        <f t="shared" si="3"/>
        <v>0.18561362661601691</v>
      </c>
      <c r="G48" s="12">
        <f t="shared" si="4"/>
        <v>14.12095766190804</v>
      </c>
      <c r="H48" s="9">
        <f t="shared" si="5"/>
        <v>0.18561362661601691</v>
      </c>
      <c r="I48">
        <f t="shared" si="0"/>
        <v>2</v>
      </c>
      <c r="J48" t="str">
        <f>VLOOKUP(Table1[[#This Row],[CLUSTER]],$A$3:$B$5,2,0)</f>
        <v>STONY RUN</v>
      </c>
      <c r="K48" s="6" t="s">
        <v>28</v>
      </c>
      <c r="M48" s="6"/>
    </row>
    <row r="49" spans="1:13" x14ac:dyDescent="0.2">
      <c r="A49" s="5">
        <f t="shared" si="6"/>
        <v>33</v>
      </c>
      <c r="B49" s="6" t="s">
        <v>32</v>
      </c>
      <c r="C49" s="6">
        <v>1.69</v>
      </c>
      <c r="D49" s="9">
        <f t="shared" si="1"/>
        <v>-0.30200268086411058</v>
      </c>
      <c r="E49">
        <f t="shared" si="2"/>
        <v>0.1960687151522586</v>
      </c>
      <c r="F49">
        <f t="shared" si="3"/>
        <v>0.60510615158385161</v>
      </c>
      <c r="G49" s="12">
        <f t="shared" si="4"/>
        <v>16.849735769867124</v>
      </c>
      <c r="H49" s="9">
        <f t="shared" si="5"/>
        <v>0.1960687151522586</v>
      </c>
      <c r="I49">
        <f t="shared" si="0"/>
        <v>1</v>
      </c>
      <c r="J49" t="str">
        <f>VLOOKUP(Table1[[#This Row],[CLUSTER]],$A$3:$B$5,2,0)</f>
        <v>WARNER &amp; ALLUVION</v>
      </c>
      <c r="K49" s="6" t="s">
        <v>32</v>
      </c>
      <c r="M49" s="6"/>
    </row>
    <row r="50" spans="1:13" x14ac:dyDescent="0.2">
      <c r="A50" s="5">
        <f t="shared" si="6"/>
        <v>34</v>
      </c>
      <c r="B50" s="10" t="s">
        <v>78</v>
      </c>
      <c r="C50" s="10">
        <v>0.93</v>
      </c>
      <c r="D50" s="9">
        <f t="shared" si="1"/>
        <v>-1.2115305682217556</v>
      </c>
      <c r="E50">
        <f t="shared" si="2"/>
        <v>0.21783821457018679</v>
      </c>
      <c r="F50">
        <f t="shared" si="3"/>
        <v>2.8473645916304275</v>
      </c>
      <c r="G50" s="12">
        <f>SUMXMY2($D$5,D50)</f>
        <v>25.143915048097661</v>
      </c>
      <c r="H50" s="9">
        <f t="shared" si="5"/>
        <v>0.21783821457018679</v>
      </c>
      <c r="I50">
        <f t="shared" si="0"/>
        <v>1</v>
      </c>
      <c r="J50" t="str">
        <f>VLOOKUP(Table1[[#This Row],[CLUSTER]],$A$3:$B$5,2,0)</f>
        <v>WARNER &amp; ALLUVION</v>
      </c>
      <c r="K50" s="10" t="s">
        <v>78</v>
      </c>
      <c r="M50" s="10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56EF-F784-F54C-BD09-677386099266}">
  <dimension ref="A2:C27"/>
  <sheetViews>
    <sheetView tabSelected="1" zoomScale="88" workbookViewId="0">
      <selection activeCell="N30" sqref="N30"/>
    </sheetView>
  </sheetViews>
  <sheetFormatPr baseColWidth="10" defaultRowHeight="16" x14ac:dyDescent="0.2"/>
  <cols>
    <col min="1" max="1" width="21.6640625" customWidth="1"/>
    <col min="2" max="2" width="21.83203125" customWidth="1"/>
    <col min="3" max="3" width="14" customWidth="1"/>
  </cols>
  <sheetData>
    <row r="2" spans="1:3" x14ac:dyDescent="0.2">
      <c r="A2" s="18" t="s">
        <v>92</v>
      </c>
      <c r="B2" s="18" t="s">
        <v>93</v>
      </c>
      <c r="C2" s="9" t="s">
        <v>94</v>
      </c>
    </row>
    <row r="3" spans="1:3" ht="34" x14ac:dyDescent="0.2">
      <c r="A3" s="19" t="s">
        <v>16</v>
      </c>
      <c r="B3" s="19" t="s">
        <v>15</v>
      </c>
      <c r="C3" s="17" t="s">
        <v>95</v>
      </c>
    </row>
    <row r="4" spans="1:3" x14ac:dyDescent="0.2">
      <c r="A4" s="19" t="s">
        <v>17</v>
      </c>
      <c r="B4" s="19" t="s">
        <v>34</v>
      </c>
      <c r="C4" s="9"/>
    </row>
    <row r="5" spans="1:3" x14ac:dyDescent="0.2">
      <c r="A5" s="19" t="s">
        <v>33</v>
      </c>
      <c r="B5" s="19" t="s">
        <v>24</v>
      </c>
      <c r="C5" s="9"/>
    </row>
    <row r="6" spans="1:3" x14ac:dyDescent="0.2">
      <c r="A6" s="19" t="s">
        <v>23</v>
      </c>
      <c r="B6" s="19" t="s">
        <v>27</v>
      </c>
      <c r="C6" s="9"/>
    </row>
    <row r="7" spans="1:3" x14ac:dyDescent="0.2">
      <c r="A7" s="19" t="s">
        <v>26</v>
      </c>
      <c r="B7" s="20" t="s">
        <v>19</v>
      </c>
      <c r="C7" s="9"/>
    </row>
    <row r="8" spans="1:3" x14ac:dyDescent="0.2">
      <c r="A8" s="19" t="s">
        <v>18</v>
      </c>
      <c r="B8" s="19" t="s">
        <v>44</v>
      </c>
      <c r="C8" s="9"/>
    </row>
    <row r="9" spans="1:3" x14ac:dyDescent="0.2">
      <c r="A9" s="19" t="s">
        <v>20</v>
      </c>
      <c r="B9" s="19" t="s">
        <v>38</v>
      </c>
      <c r="C9" s="9"/>
    </row>
    <row r="10" spans="1:3" x14ac:dyDescent="0.2">
      <c r="A10" s="20" t="s">
        <v>36</v>
      </c>
      <c r="B10" s="19" t="s">
        <v>40</v>
      </c>
      <c r="C10" s="9"/>
    </row>
    <row r="11" spans="1:3" x14ac:dyDescent="0.2">
      <c r="A11" s="19" t="s">
        <v>35</v>
      </c>
      <c r="B11" s="19" t="s">
        <v>41</v>
      </c>
      <c r="C11" s="9"/>
    </row>
    <row r="12" spans="1:3" x14ac:dyDescent="0.2">
      <c r="A12" s="19" t="s">
        <v>37</v>
      </c>
      <c r="B12" s="19" t="s">
        <v>42</v>
      </c>
      <c r="C12" s="9"/>
    </row>
    <row r="13" spans="1:3" x14ac:dyDescent="0.2">
      <c r="A13" s="19" t="s">
        <v>39</v>
      </c>
      <c r="B13" s="19" t="s">
        <v>29</v>
      </c>
      <c r="C13" s="9"/>
    </row>
    <row r="14" spans="1:3" x14ac:dyDescent="0.2">
      <c r="A14" s="19" t="s">
        <v>22</v>
      </c>
      <c r="B14" s="19" t="s">
        <v>31</v>
      </c>
      <c r="C14" s="9"/>
    </row>
    <row r="15" spans="1:3" x14ac:dyDescent="0.2">
      <c r="A15" s="19" t="s">
        <v>14</v>
      </c>
      <c r="B15" s="19" t="s">
        <v>30</v>
      </c>
      <c r="C15" s="9"/>
    </row>
    <row r="16" spans="1:3" x14ac:dyDescent="0.2">
      <c r="A16" s="19" t="s">
        <v>32</v>
      </c>
      <c r="B16" s="19" t="s">
        <v>21</v>
      </c>
      <c r="C16" s="9"/>
    </row>
    <row r="17" spans="1:3" x14ac:dyDescent="0.2">
      <c r="A17" s="19" t="s">
        <v>78</v>
      </c>
      <c r="B17" s="19" t="s">
        <v>13</v>
      </c>
      <c r="C17" s="9"/>
    </row>
    <row r="18" spans="1:3" x14ac:dyDescent="0.2">
      <c r="A18" s="18"/>
      <c r="B18" s="19" t="s">
        <v>9</v>
      </c>
      <c r="C18" s="9"/>
    </row>
    <row r="19" spans="1:3" x14ac:dyDescent="0.2">
      <c r="A19" s="18"/>
      <c r="B19" s="19" t="s">
        <v>11</v>
      </c>
      <c r="C19" s="9"/>
    </row>
    <row r="20" spans="1:3" x14ac:dyDescent="0.2">
      <c r="A20" s="18"/>
      <c r="B20" s="19" t="s">
        <v>28</v>
      </c>
      <c r="C20" s="9"/>
    </row>
    <row r="24" spans="1:3" x14ac:dyDescent="0.2">
      <c r="A24" s="21" t="s">
        <v>96</v>
      </c>
      <c r="B24" t="s">
        <v>102</v>
      </c>
    </row>
    <row r="25" spans="1:3" x14ac:dyDescent="0.2">
      <c r="A25" t="s">
        <v>103</v>
      </c>
      <c r="B25">
        <v>17</v>
      </c>
    </row>
    <row r="26" spans="1:3" x14ac:dyDescent="0.2">
      <c r="A26" s="22" t="s">
        <v>104</v>
      </c>
      <c r="B26">
        <v>20</v>
      </c>
    </row>
    <row r="27" spans="1:3" x14ac:dyDescent="0.2">
      <c r="A27" t="s">
        <v>105</v>
      </c>
      <c r="B27"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2020_station_filtered_data</vt:lpstr>
      <vt:lpstr>cluster analysis</vt:lpstr>
      <vt:lpstr>final clusters</vt:lpstr>
      <vt:lpstr>cluster</vt:lpstr>
      <vt:lpstr>data</vt:lpstr>
      <vt:lpstr>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2021-03-11T18:36:53Z</dcterms:created>
  <dcterms:modified xsi:type="dcterms:W3CDTF">2021-03-23T18:26:12Z</dcterms:modified>
</cp:coreProperties>
</file>