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 Data" sheetId="1" r:id="rId4"/>
    <sheet state="visible" name="ABS Data" sheetId="2" r:id="rId5"/>
    <sheet state="visible" name="Aggregation" sheetId="3" r:id="rId6"/>
    <sheet state="visible" name="Display Data" sheetId="4" r:id="rId7"/>
    <sheet state="visible" name="Statistics" sheetId="5" r:id="rId8"/>
  </sheets>
  <definedNames/>
  <calcPr/>
</workbook>
</file>

<file path=xl/sharedStrings.xml><?xml version="1.0" encoding="utf-8"?>
<sst xmlns="http://schemas.openxmlformats.org/spreadsheetml/2006/main" count="829" uniqueCount="401">
  <si>
    <t>schedule</t>
  </si>
  <si>
    <t>Max Force (Kg)</t>
  </si>
  <si>
    <t>Ultimate Stress (MPA)</t>
  </si>
  <si>
    <t>Strain at Ultimate Stress</t>
  </si>
  <si>
    <t>T1 Repairs</t>
  </si>
  <si>
    <t>Infill %</t>
  </si>
  <si>
    <t>Mean Ultimate Force (kg)</t>
  </si>
  <si>
    <t>Mean Ultimate Stress (MPa)</t>
  </si>
  <si>
    <t>Percentage Effectiveness</t>
  </si>
  <si>
    <t>U1(1:27:21)12.10</t>
  </si>
  <si>
    <t>broke before ultimate</t>
  </si>
  <si>
    <t>Undamaged</t>
  </si>
  <si>
    <t>U2(1:27:21)12.1</t>
  </si>
  <si>
    <t>100% Repair</t>
  </si>
  <si>
    <t>U3(1:26:21)14.46</t>
  </si>
  <si>
    <t>80% Repair</t>
  </si>
  <si>
    <t>U4(1:26:21)14.43</t>
  </si>
  <si>
    <t>60% Repair</t>
  </si>
  <si>
    <t>U5(12:8:20)14:42</t>
  </si>
  <si>
    <t>40% Repair</t>
  </si>
  <si>
    <t>U6(12:7:20)</t>
  </si>
  <si>
    <t>20% Repair</t>
  </si>
  <si>
    <t>U7(12:7:20)</t>
  </si>
  <si>
    <t>U8(12:7:20)</t>
  </si>
  <si>
    <t>Remember to round</t>
  </si>
  <si>
    <t>U9(12:8:20)10:30</t>
  </si>
  <si>
    <t>Compression Vs Tension</t>
  </si>
  <si>
    <t>U10(12:7:20)</t>
  </si>
  <si>
    <t>T1 Tension</t>
  </si>
  <si>
    <t>Mean</t>
  </si>
  <si>
    <t>Mean of just data with strain</t>
  </si>
  <si>
    <t>T1 Compression</t>
  </si>
  <si>
    <t>Standard Deviation</t>
  </si>
  <si>
    <t>T4 Tension</t>
  </si>
  <si>
    <t>T4 Compression</t>
  </si>
  <si>
    <t>Undamaged Aidan(4.13)</t>
  </si>
  <si>
    <t>no data</t>
  </si>
  <si>
    <t>1R1(1:27:21)12.28</t>
  </si>
  <si>
    <t>reached maximum of .01776</t>
  </si>
  <si>
    <t>Hexagonal Vs Rectilinear</t>
  </si>
  <si>
    <t>1R2(1:27:21)12.26</t>
  </si>
  <si>
    <t>1R3(1:27:21)12.24</t>
  </si>
  <si>
    <t>Hex Vs Rectilinear</t>
  </si>
  <si>
    <t>40% T1 Rectilinear</t>
  </si>
  <si>
    <t>1R4(1:26:21)15.47 (redo?)</t>
  </si>
  <si>
    <t>reached maximum of .02705</t>
  </si>
  <si>
    <t>.4 T1 Rectilinear</t>
  </si>
  <si>
    <t>40% T1 Hexagonal</t>
  </si>
  <si>
    <t>1R5(1:26:21)15.45</t>
  </si>
  <si>
    <t>.4 T1 Hex</t>
  </si>
  <si>
    <t>1R6(12:8:20)10:50 compression</t>
  </si>
  <si>
    <t>Relative Effectiveness</t>
  </si>
  <si>
    <t>Notes</t>
  </si>
  <si>
    <t>Look at how T1 compression is stronger</t>
  </si>
  <si>
    <t>R1C(3:9:21)13.46</t>
  </si>
  <si>
    <t>T4 damaged stress may be wrong (moment of inertia)</t>
  </si>
  <si>
    <t>R2C(3:9:21)13.50</t>
  </si>
  <si>
    <t>R3C(3:9:21)13.54</t>
  </si>
  <si>
    <t>reached maximum of .00829 before ultimate</t>
  </si>
  <si>
    <t>R4C(3:9:21)13.57</t>
  </si>
  <si>
    <t>100Compression(11.10)16;58</t>
  </si>
  <si>
    <t>100Compression(11.10)17;1</t>
  </si>
  <si>
    <t>8R1(1:27:21)15.22</t>
  </si>
  <si>
    <t>reached maximum of .02666</t>
  </si>
  <si>
    <t>8R2(1:27:21)15.19</t>
  </si>
  <si>
    <t>8R3(1:27:21)15.17</t>
  </si>
  <si>
    <t>8R4(1:27:21)15.12</t>
  </si>
  <si>
    <t>broke before ultimate at 21.76</t>
  </si>
  <si>
    <t>8R5(1:27:21)15.0</t>
  </si>
  <si>
    <t>broke before ultimate at 32.10</t>
  </si>
  <si>
    <t>8R6(12:8:20)10:54 Compression</t>
  </si>
  <si>
    <t>broke before ultimate at 22.14</t>
  </si>
  <si>
    <t>Compression</t>
  </si>
  <si>
    <t>80Compress(10.4)16;34</t>
  </si>
  <si>
    <t>80Compress(10.4)16;41</t>
  </si>
  <si>
    <t>80Compress(10.4)16;55</t>
  </si>
  <si>
    <t>80Compress(10.4)16;58</t>
  </si>
  <si>
    <t>80Compress(10.4)16;59</t>
  </si>
  <si>
    <t>80Compress(10.4)17;5</t>
  </si>
  <si>
    <t>mean</t>
  </si>
  <si>
    <t>6R1(2:1:21)14.11</t>
  </si>
  <si>
    <t>broke before ultimate at 19.38</t>
  </si>
  <si>
    <t>6R2(2:1:21)14.7</t>
  </si>
  <si>
    <t>reached maximum of .02169</t>
  </si>
  <si>
    <t>6R3(2:1:21)14.6</t>
  </si>
  <si>
    <t>6R4(2:1:21)14.4</t>
  </si>
  <si>
    <t>broke before ultimate at 17.58</t>
  </si>
  <si>
    <t>6R5(2:1:21)12.55</t>
  </si>
  <si>
    <t>6R6(2:1:21)12.52 compression</t>
  </si>
  <si>
    <t>maximum before break</t>
  </si>
  <si>
    <t>60Compression(10.29)16;18</t>
  </si>
  <si>
    <t>60Compression(10.29)16;24</t>
  </si>
  <si>
    <t>60Compression(10.29)16;27</t>
  </si>
  <si>
    <t>60Compression(10.29)16;29</t>
  </si>
  <si>
    <t>60Compression(10.29)16;36</t>
  </si>
  <si>
    <t>60Compression(10.29)16;38</t>
  </si>
  <si>
    <t>DATA BROKEN</t>
  </si>
  <si>
    <t>4R1(12:8:20)10:58 compression</t>
  </si>
  <si>
    <t>broke before ultimate at 17.86</t>
  </si>
  <si>
    <t>4R2(2:1:21)14.22</t>
  </si>
  <si>
    <t>broke before ultimate at 13.61</t>
  </si>
  <si>
    <t>4R3(2:1:21)14.21</t>
  </si>
  <si>
    <t>broke before ultimate at 10.31</t>
  </si>
  <si>
    <t>4R4(2:1:21)14.19</t>
  </si>
  <si>
    <t>reached maximum of .02276</t>
  </si>
  <si>
    <t>4R5(2:1:21)14.17</t>
  </si>
  <si>
    <t>broke before ultimate at 8.49</t>
  </si>
  <si>
    <t>4R6(2:1:21)14.15</t>
  </si>
  <si>
    <t>2R1(2:2:21)16.23</t>
  </si>
  <si>
    <t>reached maximum of .02195</t>
  </si>
  <si>
    <t>2R2(2:2:21)16.18</t>
  </si>
  <si>
    <t>broke before ultimate at 13.88</t>
  </si>
  <si>
    <t>2R3(2:2:21)16.26</t>
  </si>
  <si>
    <t>no value</t>
  </si>
  <si>
    <t>2R4(2:2:21)16.14</t>
  </si>
  <si>
    <t>broke before ultimate at 15.88</t>
  </si>
  <si>
    <t>2R5(2:2:21)16.11</t>
  </si>
  <si>
    <t>broke before ultimate at 17.62</t>
  </si>
  <si>
    <t>2R6(12:8:20)11:1compression</t>
  </si>
  <si>
    <t>broke before ultimate at 14.56</t>
  </si>
  <si>
    <t xml:space="preserve">Mean </t>
  </si>
  <si>
    <t>4RC1(6.3)18:0</t>
  </si>
  <si>
    <t>4RC2(6.3)18:3</t>
  </si>
  <si>
    <t>.04331 or .01951</t>
  </si>
  <si>
    <t>4RC3(6.3)18:6</t>
  </si>
  <si>
    <t>4RC4(11.12)16:50</t>
  </si>
  <si>
    <t>weird</t>
  </si>
  <si>
    <t>4RC5(11.12)16:52</t>
  </si>
  <si>
    <t>4RC6(11.12)16:55</t>
  </si>
  <si>
    <t>20Compression(11.10)17;6</t>
  </si>
  <si>
    <t>20Compression(11.10)17;8</t>
  </si>
  <si>
    <t>20Compression(11.10)17;11</t>
  </si>
  <si>
    <t>20Compression(11.10)17;14</t>
  </si>
  <si>
    <t>20Compression(11.10)17;18</t>
  </si>
  <si>
    <t>20Compression(11.17)17;30</t>
  </si>
  <si>
    <t>D1(1:27:21)12.19</t>
  </si>
  <si>
    <t>D2(1:27:21)12.16</t>
  </si>
  <si>
    <t>D3(1:27:21)12.14</t>
  </si>
  <si>
    <t>D4(1:26:21)15.41</t>
  </si>
  <si>
    <t>D5(1:26:21)15.39</t>
  </si>
  <si>
    <t>D6(12:8:20)10:37</t>
  </si>
  <si>
    <t>60HexTension(10.29)15;48</t>
  </si>
  <si>
    <t>60HexTension(10.29)15;56</t>
  </si>
  <si>
    <t>60HexTension(10.29)16;2</t>
  </si>
  <si>
    <t>60HexTension(11.10)16;21</t>
  </si>
  <si>
    <t>60HexTension(11.10)16;38</t>
  </si>
  <si>
    <t>strain data weird</t>
  </si>
  <si>
    <t>60HexTension(11.10)20;24</t>
  </si>
  <si>
    <t>8RH1(10.30)12:33 (TENSION)</t>
  </si>
  <si>
    <t>strain data messed up</t>
  </si>
  <si>
    <t>8RH2(10.30)12:35</t>
  </si>
  <si>
    <t>8RH3(10.30)12:37</t>
  </si>
  <si>
    <t>8RH4(10.30)12:38</t>
  </si>
  <si>
    <t>8RH5(11.12)16:59</t>
  </si>
  <si>
    <t>80HexTension(11.10)20;20</t>
  </si>
  <si>
    <t>60HexCompression_weird(4.26)21;45</t>
  </si>
  <si>
    <t>60HexCompression_weird(4.26)22;14</t>
  </si>
  <si>
    <t>60HexCompression(4.26)21;27</t>
  </si>
  <si>
    <t>at ultimate</t>
  </si>
  <si>
    <t>Disregard as setup not properly tightened</t>
  </si>
  <si>
    <t>60HexCompression(4.26)21;38</t>
  </si>
  <si>
    <t>60HexCompression(4.26)22;10</t>
  </si>
  <si>
    <t>.0438442 or .0077551</t>
  </si>
  <si>
    <t>60HexCompression(4.26)22;18</t>
  </si>
  <si>
    <t>80HexagonalCompress(4.28)21;12</t>
  </si>
  <si>
    <t>.0409194 or .0152606</t>
  </si>
  <si>
    <t>80HexagonalCompress(4.28)21;41</t>
  </si>
  <si>
    <t>80HexagonalCompress(4.28)21;44</t>
  </si>
  <si>
    <t>.0467891 or .014360</t>
  </si>
  <si>
    <t>80HexagonalCompress(4.28)21;48</t>
  </si>
  <si>
    <t>.0300291 or .0085564</t>
  </si>
  <si>
    <t>80HexagonalCompress(4.28)21;51</t>
  </si>
  <si>
    <t>80HexagonalCompress(4.28)22;0</t>
  </si>
  <si>
    <t>standard deviation</t>
  </si>
  <si>
    <t>Check if truly compression or actually tension</t>
  </si>
  <si>
    <t>80HexCompress(10.4)18;19</t>
  </si>
  <si>
    <t>80HexCompress(10.4)18;22</t>
  </si>
  <si>
    <t>80HexCompress(10.4)18;24</t>
  </si>
  <si>
    <t>80HexCompress(10.4)18;26</t>
  </si>
  <si>
    <t>80HexCompress(10.4)18;30</t>
  </si>
  <si>
    <t>80HexCompress(10.4)18;36</t>
  </si>
  <si>
    <t>Data messed up</t>
  </si>
  <si>
    <t>4RH1(3:23:21)13.36</t>
  </si>
  <si>
    <t>4RH2(3:23:21)13.40</t>
  </si>
  <si>
    <t>4RH3(3:23:21)13.42</t>
  </si>
  <si>
    <t>4RH4(3:23:21)13.44</t>
  </si>
  <si>
    <t>4RH5(3:23:21)13.46</t>
  </si>
  <si>
    <t>4RH6(3:23:21)13.48</t>
  </si>
  <si>
    <t>4RHC1(4.17)13:19</t>
  </si>
  <si>
    <t>4RHC2(4.17)13:22</t>
  </si>
  <si>
    <t>4RHC3(4.17)13:26</t>
  </si>
  <si>
    <t>4RHC4(4.17)13:28</t>
  </si>
  <si>
    <t>4RHC5(4.17)13:30</t>
  </si>
  <si>
    <t>4RHC6(4.17)13:33</t>
  </si>
  <si>
    <t xml:space="preserve">Tension </t>
  </si>
  <si>
    <t>8RA1(4.21)13_18</t>
  </si>
  <si>
    <t>8RA2(4.21)13_20</t>
  </si>
  <si>
    <t>8RA3(4.21)13_23</t>
  </si>
  <si>
    <t>8RA4(4.21)13_25</t>
  </si>
  <si>
    <t>8RA5(4.21)13:28</t>
  </si>
  <si>
    <t>8RA6(4.21)13_30</t>
  </si>
  <si>
    <t>60Alligntension(10.7)17;37</t>
  </si>
  <si>
    <t>60Alligntension(10.7)17;40</t>
  </si>
  <si>
    <t>60Alligntension(10.7)17;44</t>
  </si>
  <si>
    <t>60Alligntension(10.26)20;45</t>
  </si>
  <si>
    <t>60Alligntension(10.26)20;48</t>
  </si>
  <si>
    <t>60Alligntension(10.26)20;51</t>
  </si>
  <si>
    <t>Tension</t>
  </si>
  <si>
    <t>4RA1(4.26)18:7</t>
  </si>
  <si>
    <t>4RA2(4.26)18:10</t>
  </si>
  <si>
    <t>4RA3(4.26)18:12</t>
  </si>
  <si>
    <t>data messed up</t>
  </si>
  <si>
    <t>4RA4(4.26)18:13</t>
  </si>
  <si>
    <t>0.05912 or .01487</t>
  </si>
  <si>
    <t>4RA5(4.26)18:15</t>
  </si>
  <si>
    <t>4RA6(6.3)17:52</t>
  </si>
  <si>
    <t>.01709 or .03264</t>
  </si>
  <si>
    <t>80AllignCompress(10.4)17;57</t>
  </si>
  <si>
    <t>80AllignCompress(10.4)18;0</t>
  </si>
  <si>
    <t>80AllignCompress(10.4)18;5</t>
  </si>
  <si>
    <t>80AllignCompress(10.4)18;7</t>
  </si>
  <si>
    <t>80AllignCompress(10.4)18;13</t>
  </si>
  <si>
    <t>Did not break but data is interesting</t>
  </si>
  <si>
    <t>80AllignCompress(10.4)18;15</t>
  </si>
  <si>
    <t>60AllignCompress(10.4)18;53</t>
  </si>
  <si>
    <t>60AllignCompress(10.4)18;56</t>
  </si>
  <si>
    <t>60AllignCompress(10.7)17;29</t>
  </si>
  <si>
    <t>60AllignCompress(10.7)17;32</t>
  </si>
  <si>
    <t>60AllignCompress(10.7)17;34</t>
  </si>
  <si>
    <t>60AllignCompress(10.29)15;32</t>
  </si>
  <si>
    <t>4RA1(5.2)13:32</t>
  </si>
  <si>
    <t>4RA2(5.2)13:36</t>
  </si>
  <si>
    <t>4RA3(5.2)13:39</t>
  </si>
  <si>
    <t>.05609 or .01719</t>
  </si>
  <si>
    <t>4RA4(5.2)13:42</t>
  </si>
  <si>
    <t>4RA5(5.2)13:44</t>
  </si>
  <si>
    <t>Aluminum</t>
  </si>
  <si>
    <t>Aidans bar</t>
  </si>
  <si>
    <t>T4</t>
  </si>
  <si>
    <t>D1(2:28:21)15.10</t>
  </si>
  <si>
    <t>D2(2:28:21)15.12</t>
  </si>
  <si>
    <t>D3(2:28:21)15.13</t>
  </si>
  <si>
    <t>D4(2:28:21)15.15</t>
  </si>
  <si>
    <t>D5(2:28:21)15.16</t>
  </si>
  <si>
    <t>D6(2:28:21)15.18</t>
  </si>
  <si>
    <t>Relative effectiveness</t>
  </si>
  <si>
    <t>D1C(3:20:21)15.27</t>
  </si>
  <si>
    <t>D2C(3:20:21)15.30</t>
  </si>
  <si>
    <t>R1(2:28:21)16.34</t>
  </si>
  <si>
    <t>R3(2:28:21)16.39</t>
  </si>
  <si>
    <t>.04198 max</t>
  </si>
  <si>
    <t>R2(3:7:21)16.33</t>
  </si>
  <si>
    <t>maximum of .01725</t>
  </si>
  <si>
    <t>R4(3:5:21)13.54</t>
  </si>
  <si>
    <t>maximum of .01235</t>
  </si>
  <si>
    <t>R5(3:5:21)13.58</t>
  </si>
  <si>
    <t>maximum of .01701</t>
  </si>
  <si>
    <t>R6(3:5:21)13.51</t>
  </si>
  <si>
    <t>maximum of .01764</t>
  </si>
  <si>
    <t>R7C(3:20:21)15.34</t>
  </si>
  <si>
    <t>R8C(3:20:21)15.38</t>
  </si>
  <si>
    <t>R9C(3:20:21)15.40</t>
  </si>
  <si>
    <t>T4RepairCompress(10.4)17;25</t>
  </si>
  <si>
    <t>Data different from prior</t>
  </si>
  <si>
    <t>T4RepairCompress(10.4)17;29</t>
  </si>
  <si>
    <t>T4RepairCompress(10.4)17;54</t>
  </si>
  <si>
    <t>percentage effectiveness</t>
  </si>
  <si>
    <t>1absUD1(10.10)13:18</t>
  </si>
  <si>
    <t>1absUD2(10.10)13:24</t>
  </si>
  <si>
    <t>damaged</t>
  </si>
  <si>
    <t>1absUD3(10.10)13:25</t>
  </si>
  <si>
    <t>broke befor ultimate</t>
  </si>
  <si>
    <t>1absUD4(10.10)13:26</t>
  </si>
  <si>
    <t>1absUD5(10.10)13:28</t>
  </si>
  <si>
    <t>1absUD6(10.10)13:29</t>
  </si>
  <si>
    <t>Repaired</t>
  </si>
  <si>
    <t>1absR1(10.17)12:19</t>
  </si>
  <si>
    <t>1absR2(10.17)12:21</t>
  </si>
  <si>
    <t>1absR3(10.17)12:22</t>
  </si>
  <si>
    <t>1absR4(10.17)12:24</t>
  </si>
  <si>
    <t>1absR5(10.17)12:25</t>
  </si>
  <si>
    <t>1absR6(10.17)12:27</t>
  </si>
  <si>
    <t>8absR1(10.17)12:4</t>
  </si>
  <si>
    <t>8absR2(10.17)12:6</t>
  </si>
  <si>
    <t>8absR3(10.17)12:8</t>
  </si>
  <si>
    <t>8absR4(10.17)12:9</t>
  </si>
  <si>
    <t>8absR5(10.17)12:10</t>
  </si>
  <si>
    <t>8absR6(10.17)12:12</t>
  </si>
  <si>
    <t>6absR1(10.17)11:44</t>
  </si>
  <si>
    <t>6absR2(10.17)11:46</t>
  </si>
  <si>
    <t>6absR3(10.17)11:48</t>
  </si>
  <si>
    <t>6absR4(10.17)11:49</t>
  </si>
  <si>
    <t>6absR5(10.17)11:51</t>
  </si>
  <si>
    <t>6absR6(10.17)11:52</t>
  </si>
  <si>
    <t>4absR1(10.10)12:43</t>
  </si>
  <si>
    <t>4absR2(10.10)12:45</t>
  </si>
  <si>
    <t>4absR3(10.10)12:47</t>
  </si>
  <si>
    <t>4absR4(10.10)12:49</t>
  </si>
  <si>
    <t>4absR5(10.10)12:52</t>
  </si>
  <si>
    <t>2absR1(10.10)12:55</t>
  </si>
  <si>
    <t>2absR2(10.10)12:57</t>
  </si>
  <si>
    <t>2absR3(10.10)12:59</t>
  </si>
  <si>
    <t>2absR4(10.10)13:7</t>
  </si>
  <si>
    <t>2absR5(10.10)13:9</t>
  </si>
  <si>
    <t>2absR6(10.10)13:11</t>
  </si>
  <si>
    <t xml:space="preserve">mean </t>
  </si>
  <si>
    <t>Damaged</t>
  </si>
  <si>
    <t>absD1(8.24)12:10</t>
  </si>
  <si>
    <t>no strain data</t>
  </si>
  <si>
    <t>absD2(8.24)12:14</t>
  </si>
  <si>
    <t>absD3(8.24)12:16</t>
  </si>
  <si>
    <t>absD4(8.24)12:18</t>
  </si>
  <si>
    <t>absD5(8.24)12:20</t>
  </si>
  <si>
    <t>absD6(8.24)12:23</t>
  </si>
  <si>
    <t>100% Infill T1</t>
  </si>
  <si>
    <t>Low</t>
  </si>
  <si>
    <t>1st Quartile</t>
  </si>
  <si>
    <t>Median</t>
  </si>
  <si>
    <t>3rd Quartile</t>
  </si>
  <si>
    <t>High</t>
  </si>
  <si>
    <t>Mean Ult. Load (kg)</t>
  </si>
  <si>
    <t>Std dev. (kg)</t>
  </si>
  <si>
    <t>Mean Ult. Stress (MPa)</t>
  </si>
  <si>
    <t>Std dev. (MPA)</t>
  </si>
  <si>
    <t>100% Infill T4</t>
  </si>
  <si>
    <t>T1 Repaired Compression</t>
  </si>
  <si>
    <t>T4 Repaired Compression</t>
  </si>
  <si>
    <t>T4 Repaired Tension</t>
  </si>
  <si>
    <t>T1 Repaired Tension</t>
  </si>
  <si>
    <t>T4 Damaged Tension</t>
  </si>
  <si>
    <t>T1 Damaged Tension</t>
  </si>
  <si>
    <t>Average Max Load (kg)</t>
  </si>
  <si>
    <t>Infill Comparison</t>
  </si>
  <si>
    <t>Rectilinear Tension</t>
  </si>
  <si>
    <t>Hexagonal Tension</t>
  </si>
  <si>
    <t>Hexagonal Compression</t>
  </si>
  <si>
    <t>Aligned Tension</t>
  </si>
  <si>
    <t>Aligned Compression</t>
  </si>
  <si>
    <t>Rectilinear Compression</t>
  </si>
  <si>
    <t>Effectiveness</t>
  </si>
  <si>
    <t>T4 Damaged Compression</t>
  </si>
  <si>
    <t>T1</t>
  </si>
  <si>
    <t>Repaired Compression</t>
  </si>
  <si>
    <t>Repaired Tension</t>
  </si>
  <si>
    <t>Damaged Tension</t>
  </si>
  <si>
    <t>Damaged Compression</t>
  </si>
  <si>
    <t>T1 40% infill Comparison</t>
  </si>
  <si>
    <t>ABS vs. PLA</t>
  </si>
  <si>
    <t>PLA max Load (kg)</t>
  </si>
  <si>
    <t>ABS max Load (kg)</t>
  </si>
  <si>
    <t>Repaired 100% Infill</t>
  </si>
  <si>
    <t>Repaired 80% Infill</t>
  </si>
  <si>
    <t>Repaired 60% Infill</t>
  </si>
  <si>
    <t>Repaired 40% Infill</t>
  </si>
  <si>
    <t>Repaired 20% Infill</t>
  </si>
  <si>
    <t>Infill</t>
  </si>
  <si>
    <t>PLA Max Load (kg)</t>
  </si>
  <si>
    <t>ABS Max Load (kg)</t>
  </si>
  <si>
    <t>PLA Max Load Relative to Undamaged</t>
  </si>
  <si>
    <t>ABS Max Load Relative to Undamaged</t>
  </si>
  <si>
    <t>Part</t>
  </si>
  <si>
    <t>Time (s)</t>
  </si>
  <si>
    <t>Rectilinear Tension 20%</t>
  </si>
  <si>
    <t>Rectilinear Tension 40%</t>
  </si>
  <si>
    <t>Rectilinear Tension 60%</t>
  </si>
  <si>
    <t>Rectilinear Tension 80%</t>
  </si>
  <si>
    <t>Rectilinear Tension 100%</t>
  </si>
  <si>
    <t>Hexagonal Tension 40%</t>
  </si>
  <si>
    <t>Hexagonal Tension 60%</t>
  </si>
  <si>
    <t>Hexagonal Tension 80%</t>
  </si>
  <si>
    <t>Aligned Tension 40%</t>
  </si>
  <si>
    <t>Aligned Tension 60%</t>
  </si>
  <si>
    <t>Aligned Tension 80%</t>
  </si>
  <si>
    <t>Rectilinear Compression 20%</t>
  </si>
  <si>
    <t>Rectilinear Compression 40%</t>
  </si>
  <si>
    <t>Rectilinear Compression 60%</t>
  </si>
  <si>
    <t>Rectilinear Compression 80%</t>
  </si>
  <si>
    <t>Rectilinear Compression 100%</t>
  </si>
  <si>
    <t>Hexagonal Compression 40%</t>
  </si>
  <si>
    <t>Hexagonal Compression 60%</t>
  </si>
  <si>
    <t>Hexagonal Compression 80%</t>
  </si>
  <si>
    <t>Aligned Compression 40%</t>
  </si>
  <si>
    <t>Aligned Compression 60%</t>
  </si>
  <si>
    <t>Aligned Compression 80%</t>
  </si>
  <si>
    <t>Max Load / Print Time</t>
  </si>
  <si>
    <t>T1 Infill Pattern Testing Average Max Load (kg)</t>
  </si>
  <si>
    <t>PLA Relative to Undamaged</t>
  </si>
  <si>
    <t>ABS Relative to Undamaged</t>
  </si>
  <si>
    <t>100% Infill Testing</t>
  </si>
  <si>
    <t>T1 Infill Pattern Testing Load Relative To Undamaged</t>
  </si>
  <si>
    <t>Statistics</t>
  </si>
  <si>
    <t>T1 Repaired Load</t>
  </si>
  <si>
    <t>T1 Undamaged Load</t>
  </si>
  <si>
    <t>T1 Damaged Load</t>
  </si>
  <si>
    <t>Paired t-test</t>
  </si>
  <si>
    <t>T4 Repaired Load</t>
  </si>
  <si>
    <t>T4 Undamaged Load</t>
  </si>
  <si>
    <t>T4 Damaged Load</t>
  </si>
  <si>
    <t>T1 60 Alligned Compression</t>
  </si>
  <si>
    <t>T1 60 Rectilinear Comrpession</t>
  </si>
  <si>
    <t>t-test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</si>
</sst>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%"/>
    <numFmt numFmtId="166" formatCode="0.0"/>
  </numFmts>
  <fonts count="12">
    <font>
      <sz val="10.0"/>
      <color rgb="FF000000"/>
      <name val="Arial"/>
      <scheme val="minor"/>
    </font>
    <font>
      <sz val="11.0"/>
      <color rgb="FF1D1C1D"/>
      <name val="Arial"/>
    </font>
    <font>
      <color theme="1"/>
      <name val="Arial"/>
      <scheme val="minor"/>
    </font>
    <font>
      <sz val="11.0"/>
      <color rgb="FF000000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  <font>
      <sz val="11.0"/>
      <color rgb="FF7E3794"/>
      <name val="Inconsolata"/>
    </font>
    <font>
      <color rgb="FF000000"/>
      <name val="Arial"/>
      <scheme val="minor"/>
    </font>
    <font>
      <sz val="10.0"/>
      <color rgb="FF000000"/>
      <name val="Roboto"/>
    </font>
    <font>
      <color rgb="FF000000"/>
      <name val="Arial"/>
    </font>
    <font>
      <color theme="1"/>
      <name val="Arial"/>
    </font>
    <font>
      <sz val="11.0"/>
      <color rgb="FFF7981D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BDBDBD"/>
        <bgColor rgb="FFBDBDBD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3" numFmtId="0" xfId="0" applyFill="1" applyFont="1"/>
    <xf borderId="0" fillId="0" fontId="2" numFmtId="2" xfId="0" applyAlignment="1" applyFont="1" applyNumberFormat="1">
      <alignment readingOrder="0"/>
    </xf>
    <xf borderId="0" fillId="0" fontId="2" numFmtId="2" xfId="0" applyFont="1" applyNumberFormat="1"/>
    <xf borderId="0" fillId="0" fontId="2" numFmtId="164" xfId="0" applyFont="1" applyNumberFormat="1"/>
    <xf borderId="0" fillId="4" fontId="2" numFmtId="0" xfId="0" applyAlignment="1" applyFill="1" applyFont="1">
      <alignment readingOrder="0"/>
    </xf>
    <xf borderId="0" fillId="0" fontId="4" numFmtId="2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3" fontId="5" numFmtId="2" xfId="0" applyAlignment="1" applyFont="1" applyNumberFormat="1">
      <alignment horizontal="center"/>
    </xf>
    <xf borderId="0" fillId="3" fontId="6" numFmtId="2" xfId="0" applyAlignment="1" applyFont="1" applyNumberFormat="1">
      <alignment horizontal="center"/>
    </xf>
    <xf borderId="0" fillId="0" fontId="2" numFmtId="0" xfId="0" applyFont="1"/>
    <xf borderId="0" fillId="3" fontId="5" numFmtId="0" xfId="0" applyAlignment="1" applyFont="1">
      <alignment readingOrder="0"/>
    </xf>
    <xf borderId="0" fillId="0" fontId="2" numFmtId="2" xfId="0" applyAlignment="1" applyFont="1" applyNumberFormat="1">
      <alignment horizontal="center"/>
    </xf>
    <xf borderId="0" fillId="3" fontId="5" numFmtId="0" xfId="0" applyFont="1"/>
    <xf borderId="0" fillId="0" fontId="7" numFmtId="0" xfId="0" applyFont="1"/>
    <xf borderId="0" fillId="5" fontId="8" numFmtId="2" xfId="0" applyAlignment="1" applyFill="1" applyFont="1" applyNumberFormat="1">
      <alignment horizontal="center" readingOrder="0" shrinkToFit="0" wrapText="1"/>
    </xf>
    <xf borderId="0" fillId="5" fontId="8" numFmtId="2" xfId="0" applyAlignment="1" applyFont="1" applyNumberFormat="1">
      <alignment horizontal="center" readingOrder="0"/>
    </xf>
    <xf borderId="0" fillId="0" fontId="8" numFmtId="2" xfId="0" applyAlignment="1" applyFont="1" applyNumberFormat="1">
      <alignment horizontal="center" vertical="bottom"/>
    </xf>
    <xf borderId="0" fillId="3" fontId="8" numFmtId="2" xfId="0" applyAlignment="1" applyFont="1" applyNumberFormat="1">
      <alignment horizontal="center" vertical="bottom"/>
    </xf>
    <xf borderId="0" fillId="3" fontId="8" numFmtId="2" xfId="0" applyAlignment="1" applyFont="1" applyNumberFormat="1">
      <alignment horizontal="center"/>
    </xf>
    <xf borderId="0" fillId="0" fontId="8" numFmtId="2" xfId="0" applyAlignment="1" applyFont="1" applyNumberFormat="1">
      <alignment horizontal="center" readingOrder="0" vertical="bottom"/>
    </xf>
    <xf borderId="0" fillId="0" fontId="9" numFmtId="2" xfId="0" applyAlignment="1" applyFont="1" applyNumberFormat="1">
      <alignment horizontal="center" vertical="bottom"/>
    </xf>
    <xf borderId="0" fillId="3" fontId="5" numFmtId="2" xfId="0" applyAlignment="1" applyFont="1" applyNumberFormat="1">
      <alignment horizontal="center" vertical="bottom"/>
    </xf>
    <xf borderId="0" fillId="0" fontId="10" numFmtId="0" xfId="0" applyAlignment="1" applyFont="1">
      <alignment vertical="bottom"/>
    </xf>
    <xf borderId="0" fillId="3" fontId="9" numFmtId="0" xfId="0" applyAlignment="1" applyFont="1">
      <alignment horizontal="left" readingOrder="0"/>
    </xf>
    <xf borderId="0" fillId="3" fontId="6" numFmtId="0" xfId="0" applyFont="1"/>
    <xf borderId="0" fillId="5" fontId="2" numFmtId="0" xfId="0" applyAlignment="1" applyFont="1">
      <alignment horizontal="left" readingOrder="0"/>
    </xf>
    <xf borderId="0" fillId="5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6" fontId="2" numFmtId="0" xfId="0" applyAlignment="1" applyFill="1" applyFont="1">
      <alignment readingOrder="0"/>
    </xf>
    <xf borderId="0" fillId="3" fontId="6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7" fontId="2" numFmtId="0" xfId="0" applyFont="1"/>
    <xf borderId="0" fillId="3" fontId="5" numFmtId="0" xfId="0" applyFont="1"/>
    <xf borderId="0" fillId="3" fontId="5" numFmtId="2" xfId="0" applyFont="1" applyNumberFormat="1"/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2" xfId="0" applyFont="1" applyNumberFormat="1"/>
    <xf borderId="0" fillId="0" fontId="2" numFmtId="2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3" fontId="11" numFmtId="0" xfId="0" applyFon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Font="1" applyNumberFormat="1"/>
    <xf borderId="0" fillId="0" fontId="2" numFmtId="165" xfId="0" applyFont="1" applyNumberFormat="1"/>
    <xf borderId="0" fillId="5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10" xfId="0" applyFont="1" applyNumberFormat="1"/>
    <xf borderId="0" fillId="0" fontId="2" numFmtId="0" xfId="0" applyAlignment="1" applyFont="1">
      <alignment readingOrder="0"/>
    </xf>
    <xf borderId="0" fillId="8" fontId="2" numFmtId="0" xfId="0" applyAlignment="1" applyFill="1" applyFont="1">
      <alignment horizontal="center" readingOrder="0"/>
    </xf>
    <xf borderId="0" fillId="3" fontId="11" numFmtId="0" xfId="0" applyAlignment="1" applyFont="1">
      <alignment readingOrder="0"/>
    </xf>
    <xf borderId="0" fillId="8" fontId="4" numFmtId="0" xfId="0" applyAlignment="1" applyFont="1">
      <alignment horizontal="center" readingOrder="0"/>
    </xf>
    <xf borderId="0" fillId="8" fontId="4" numFmtId="0" xfId="0" applyAlignment="1" applyFont="1">
      <alignment horizontal="center" readingOrder="0"/>
    </xf>
    <xf borderId="0" fillId="8" fontId="2" numFmtId="0" xfId="0" applyAlignment="1" applyFont="1">
      <alignment readingOrder="0"/>
    </xf>
    <xf borderId="0" fillId="8" fontId="2" numFmtId="0" xfId="0" applyAlignment="1" applyFont="1">
      <alignment readingOrder="0"/>
    </xf>
    <xf borderId="0" fillId="9" fontId="4" numFmtId="0" xfId="0" applyAlignment="1" applyFill="1" applyFont="1">
      <alignment readingOrder="0"/>
    </xf>
    <xf borderId="0" fillId="9" fontId="2" numFmtId="9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9" fontId="2" numFmtId="0" xfId="0" applyAlignment="1" applyFont="1">
      <alignment readingOrder="0"/>
    </xf>
    <xf borderId="0" fillId="9" fontId="2" numFmtId="1" xfId="0" applyAlignment="1" applyFont="1" applyNumberFormat="1">
      <alignment horizontal="center"/>
    </xf>
    <xf borderId="0" fillId="9" fontId="2" numFmtId="9" xfId="0" applyAlignment="1" applyFont="1" applyNumberFormat="1">
      <alignment horizontal="center"/>
    </xf>
    <xf borderId="0" fillId="10" fontId="2" numFmtId="0" xfId="0" applyAlignment="1" applyFill="1" applyFont="1">
      <alignment readingOrder="0"/>
    </xf>
    <xf borderId="0" fillId="10" fontId="2" numFmtId="2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0" fillId="0" fontId="2" numFmtId="2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/>
    </xf>
    <xf borderId="0" fillId="0" fontId="2" numFmtId="9" xfId="0" applyAlignment="1" applyFont="1" applyNumberFormat="1">
      <alignment horizontal="center" readingOrder="0"/>
    </xf>
    <xf borderId="0" fillId="10" fontId="2" numFmtId="9" xfId="0" applyAlignment="1" applyFont="1" applyNumberFormat="1">
      <alignment horizontal="center"/>
    </xf>
    <xf borderId="0" fillId="0" fontId="10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3" pivot="0" name="Aggregation-style">
      <tableStyleElement dxfId="1" type="headerRow"/>
      <tableStyleElement dxfId="2" type="firstRowStripe"/>
      <tableStyleElement dxfId="3" type="secondRowStripe"/>
    </tableStyle>
    <tableStyle count="3" pivot="0" name="Aggregation-style 2">
      <tableStyleElement dxfId="1" type="headerRow"/>
      <tableStyleElement dxfId="2" type="firstRowStripe"/>
      <tableStyleElement dxfId="3" type="secondRowStripe"/>
    </tableStyle>
    <tableStyle count="3" pivot="0" name="Aggregation-style 3">
      <tableStyleElement dxfId="1" type="headerRow"/>
      <tableStyleElement dxfId="2" type="firstRowStripe"/>
      <tableStyleElement dxfId="3" type="secondRowStripe"/>
    </tableStyle>
    <tableStyle count="2" pivot="0" name="Aggregation-style 4">
      <tableStyleElement dxfId="2" type="firstRowStripe"/>
      <tableStyleElement dxfId="3" type="secondRowStripe"/>
    </tableStyle>
    <tableStyle count="3" pivot="0" name="Display Data-style">
      <tableStyleElement dxfId="1" type="headerRow"/>
      <tableStyleElement dxfId="2" type="firstRowStripe"/>
      <tableStyleElement dxfId="3" type="secondRowStripe"/>
    </tableStyle>
    <tableStyle count="3" pivot="0" name="Display Data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Undamaged Stress Vs Strain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</c:dPt>
          <c:xVal>
            <c:numRef>
              <c:f>'PLA Data'!$D$2:$D$6</c:f>
            </c:numRef>
          </c:xVal>
          <c:yVal>
            <c:numRef>
              <c:f>'PLA Data'!$C$2:$C$6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42420"/>
        <c:axId val="420185539"/>
      </c:scatterChart>
      <c:valAx>
        <c:axId val="4523424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185539"/>
      </c:valAx>
      <c:valAx>
        <c:axId val="420185539"/>
        <c:scaling>
          <c:orientation val="minMax"/>
          <c:max val="6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Stress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342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 Effectiveness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Aggregation!$B$44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Aggregation!$A$45:$A$47</c:f>
            </c:strRef>
          </c:cat>
          <c:val>
            <c:numRef>
              <c:f>Aggregation!$B$45:$B$47</c:f>
              <c:numCache/>
            </c:numRef>
          </c:val>
        </c:ser>
        <c:ser>
          <c:idx val="1"/>
          <c:order val="1"/>
          <c:tx>
            <c:strRef>
              <c:f>Aggregation!$C$44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Aggregation!$A$45:$A$47</c:f>
            </c:strRef>
          </c:cat>
          <c:val>
            <c:numRef>
              <c:f>Aggregation!$C$45:$C$47</c:f>
              <c:numCache/>
            </c:numRef>
          </c:val>
        </c:ser>
        <c:axId val="198721807"/>
        <c:axId val="1795270703"/>
      </c:barChart>
      <c:catAx>
        <c:axId val="1987218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270703"/>
      </c:catAx>
      <c:valAx>
        <c:axId val="1795270703"/>
        <c:scaling>
          <c:orientation val="minMax"/>
          <c:max val="1.25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B7B7B7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Effectiveness (Relative to Undamaged)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21807"/>
        <c:crosses val="max"/>
        <c:majorUnit val="1.0"/>
        <c:minorUnit val="0.16666666666666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PLA Max Load (kg) and ABS Max Load (kg)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Aggregation!$B$72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Aggregation!$A$73:$A$77</c:f>
            </c:numRef>
          </c:xVal>
          <c:yVal>
            <c:numRef>
              <c:f>Aggregation!$B$73:$B$77</c:f>
              <c:numCache/>
            </c:numRef>
          </c:yVal>
        </c:ser>
        <c:ser>
          <c:idx val="1"/>
          <c:order val="1"/>
          <c:tx>
            <c:strRef>
              <c:f>Aggregation!$C$72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Aggregation!$A$73:$A$77</c:f>
            </c:numRef>
          </c:xVal>
          <c:yVal>
            <c:numRef>
              <c:f>Aggregation!$C$73:$C$77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66976"/>
        <c:axId val="1174715577"/>
      </c:scatterChart>
      <c:valAx>
        <c:axId val="2307669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Infill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715577"/>
      </c:valAx>
      <c:valAx>
        <c:axId val="1174715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766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Rectilinear Strength Relative to Respective Undamaged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Aggregation!$B$79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Aggregation!$A$80:$A$84</c:f>
            </c:strRef>
          </c:cat>
          <c:val>
            <c:numRef>
              <c:f>Aggregation!$B$80:$B$84</c:f>
              <c:numCache/>
            </c:numRef>
          </c:val>
        </c:ser>
        <c:ser>
          <c:idx val="1"/>
          <c:order val="1"/>
          <c:tx>
            <c:strRef>
              <c:f>Aggregation!$C$79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Aggregation!$A$80:$A$84</c:f>
            </c:strRef>
          </c:cat>
          <c:val>
            <c:numRef>
              <c:f>Aggregation!$C$80:$C$84</c:f>
              <c:numCache/>
            </c:numRef>
          </c:val>
        </c:ser>
        <c:axId val="1707739379"/>
        <c:axId val="1593249303"/>
      </c:barChart>
      <c:catAx>
        <c:axId val="1707739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249303"/>
      </c:catAx>
      <c:valAx>
        <c:axId val="1593249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739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T1 Infill Pattern Tension Testing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Aggregation!$B$20:$B$22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Aggregation!$A$23:$A$26</c:f>
            </c:numRef>
          </c:xVal>
          <c:yVal>
            <c:numRef>
              <c:f>Aggregation!$B$23:$B$26</c:f>
              <c:numCache/>
            </c:numRef>
          </c:yVal>
        </c:ser>
        <c:ser>
          <c:idx val="1"/>
          <c:order val="1"/>
          <c:tx>
            <c:strRef>
              <c:f>Aggregation!$C$20:$C$22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Aggregation!$A$23:$A$26</c:f>
            </c:numRef>
          </c:xVal>
          <c:yVal>
            <c:numRef>
              <c:f>Aggregation!$C$23:$C$26</c:f>
              <c:numCache/>
            </c:numRef>
          </c:yVal>
        </c:ser>
        <c:ser>
          <c:idx val="2"/>
          <c:order val="2"/>
          <c:tx>
            <c:strRef>
              <c:f>Aggregation!$E$20:$E$22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Aggregation!$A$23:$A$26</c:f>
            </c:numRef>
          </c:xVal>
          <c:yVal>
            <c:numRef>
              <c:f>Aggregation!$E$23:$E$26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144702"/>
        <c:axId val="266978107"/>
      </c:scatterChart>
      <c:valAx>
        <c:axId val="7911447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Infill 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978107"/>
      </c:valAx>
      <c:valAx>
        <c:axId val="266978107"/>
        <c:scaling>
          <c:orientation val="minMax"/>
          <c:min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Load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144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T1 Infill Pattern Compression Testing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Aggregation!$D$20:$D$22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Aggregation!$A$23:$A$26</c:f>
            </c:numRef>
          </c:xVal>
          <c:yVal>
            <c:numRef>
              <c:f>Aggregation!$D$23:$D$26</c:f>
              <c:numCache/>
            </c:numRef>
          </c:yVal>
        </c:ser>
        <c:ser>
          <c:idx val="1"/>
          <c:order val="1"/>
          <c:tx>
            <c:strRef>
              <c:f>Aggregation!$F$20:$F$22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Aggregation!$A$23:$A$26</c:f>
            </c:numRef>
          </c:xVal>
          <c:yVal>
            <c:numRef>
              <c:f>Aggregation!$F$23:$F$26</c:f>
              <c:numCache/>
            </c:numRef>
          </c:yVal>
        </c:ser>
        <c:ser>
          <c:idx val="2"/>
          <c:order val="2"/>
          <c:tx>
            <c:strRef>
              <c:f>Aggregation!$G$20:$G$22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Aggregation!$A$23:$A$26</c:f>
            </c:numRef>
          </c:xVal>
          <c:yVal>
            <c:numRef>
              <c:f>Aggregation!$G$23:$G$26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20818"/>
        <c:axId val="1827220353"/>
      </c:scatterChart>
      <c:valAx>
        <c:axId val="5997208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Infill 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220353"/>
      </c:valAx>
      <c:valAx>
        <c:axId val="1827220353"/>
        <c:scaling>
          <c:orientation val="minMax"/>
          <c:min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Load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72081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Tension Test Print Time Vs. Max Load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Aggregation!$B$126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Aggregation!$C$127:$C$137</c:f>
            </c:numRef>
          </c:xVal>
          <c:yVal>
            <c:numRef>
              <c:f>Aggregation!$B$127:$B$137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470670"/>
        <c:axId val="1557286645"/>
      </c:scatterChart>
      <c:valAx>
        <c:axId val="1649470670"/>
        <c:scaling>
          <c:orientation val="minMax"/>
          <c:max val="12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Print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286645"/>
      </c:valAx>
      <c:valAx>
        <c:axId val="1557286645"/>
        <c:scaling>
          <c:orientation val="minMax"/>
          <c:min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Load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470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Compression Test Print Time Vs. Max Load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Aggregation!$B$140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Aggregation!$C$141:$C$151</c:f>
            </c:numRef>
          </c:xVal>
          <c:yVal>
            <c:numRef>
              <c:f>Aggregation!$B$141:$B$151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679667"/>
        <c:axId val="1316447905"/>
      </c:scatterChart>
      <c:valAx>
        <c:axId val="1361679667"/>
        <c:scaling>
          <c:orientation val="minMax"/>
          <c:max val="12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Print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447905"/>
      </c:valAx>
      <c:valAx>
        <c:axId val="1316447905"/>
        <c:scaling>
          <c:orientation val="minMax"/>
          <c:max val="5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Load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679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Ratio of Average Max Load and Print Time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Aggregation!$B$190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17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Pt>
            <c:idx val="18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Pt>
            <c:idx val="19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20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dPt>
            <c:idx val="21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Aggregation!$A$191:$A$212</c:f>
            </c:strRef>
          </c:cat>
          <c:val>
            <c:numRef>
              <c:f>Aggregation!$B$191:$B$212</c:f>
              <c:numCache/>
            </c:numRef>
          </c:val>
        </c:ser>
        <c:axId val="881439560"/>
        <c:axId val="1138668798"/>
      </c:barChart>
      <c:catAx>
        <c:axId val="8814395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Infill Pattern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138668798"/>
      </c:catAx>
      <c:valAx>
        <c:axId val="11386687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Max Load / Print Time (kg/s)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8814395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100% Infill Comparison Standard Infill Pattern</a:t>
            </a:r>
          </a:p>
        </c:rich>
      </c:tx>
      <c:layout>
        <c:manualLayout>
          <c:xMode val="edge"/>
          <c:yMode val="edge"/>
          <c:x val="0.025408942202835332"/>
          <c:y val="0.05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Aggregation!$D$11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Aggregation!$A$12:$A$18</c:f>
            </c:numRef>
          </c:xVal>
          <c:yVal>
            <c:numRef>
              <c:f>Aggregation!$D$12:$D$18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86709"/>
        <c:axId val="1393394664"/>
      </c:scatterChart>
      <c:valAx>
        <c:axId val="20968867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394664"/>
      </c:valAx>
      <c:valAx>
        <c:axId val="1393394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Load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886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100% infill Stress Vs Strain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'PLA Data'!$D$18:$D$23</c:f>
            </c:numRef>
          </c:xVal>
          <c:yVal>
            <c:numRef>
              <c:f>'PLA Data'!$C$18:$C$23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36903"/>
        <c:axId val="1250564265"/>
      </c:scatterChart>
      <c:valAx>
        <c:axId val="940536903"/>
        <c:scaling>
          <c:orientation val="minMax"/>
          <c:max val="0.0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564265"/>
      </c:valAx>
      <c:valAx>
        <c:axId val="1250564265"/>
        <c:scaling>
          <c:orientation val="minMax"/>
          <c:max val="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Stress (MPa)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536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'PLA Data'!$D$38:$D$43</c:f>
            </c:numRef>
          </c:xVal>
          <c:yVal>
            <c:numRef>
              <c:f>'PLA Data'!$C$38:$C$43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288693"/>
        <c:axId val="697667059"/>
      </c:scatterChart>
      <c:valAx>
        <c:axId val="1205288693"/>
        <c:scaling>
          <c:orientation val="minMax"/>
          <c:max val="0.06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667059"/>
      </c:valAx>
      <c:valAx>
        <c:axId val="697667059"/>
        <c:scaling>
          <c:orientation val="minMax"/>
          <c:max val="6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288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xVal>
            <c:numRef>
              <c:f>'PLA Data'!$D$57:$D$62</c:f>
            </c:numRef>
          </c:xVal>
          <c:yVal>
            <c:numRef>
              <c:f>'PLA Data'!$C$57:$C$62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85768"/>
        <c:axId val="1438223084"/>
      </c:scatterChart>
      <c:valAx>
        <c:axId val="10626857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223084"/>
      </c:valAx>
      <c:valAx>
        <c:axId val="1438223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685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'PLA Data'!$D$76:$D$81</c:f>
            </c:numRef>
          </c:xVal>
          <c:yVal>
            <c:numRef>
              <c:f>'PLA Data'!$C$76:$C$81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34435"/>
        <c:axId val="2041364251"/>
      </c:scatterChart>
      <c:valAx>
        <c:axId val="13066344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364251"/>
      </c:valAx>
      <c:valAx>
        <c:axId val="2041364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634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'PLA Data'!$D$85:$D$90</c:f>
            </c:numRef>
          </c:xVal>
          <c:yVal>
            <c:numRef>
              <c:f>'PLA Data'!$C$85:$C$90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25883"/>
        <c:axId val="289037384"/>
      </c:scatterChart>
      <c:valAx>
        <c:axId val="6966258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037384"/>
      </c:valAx>
      <c:valAx>
        <c:axId val="289037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625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T1 Maximum Load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Aggregation!$A$2:$A$4</c:f>
            </c:strRef>
          </c:cat>
          <c:val>
            <c:numRef>
              <c:f>Aggregation!$C$2:$C$4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Aggregation!$A$2:$A$4</c:f>
            </c:strRef>
          </c:cat>
          <c:val>
            <c:numRef>
              <c:f>Aggregation!$F$2:$F$4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Aggregation!$A$2:$A$4</c:f>
            </c:strRef>
          </c:cat>
          <c:val>
            <c:numRef>
              <c:f>Aggregation!$B$2:$B$4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Aggregation!$A$2:$A$4</c:f>
            </c:strRef>
          </c:cat>
          <c:val>
            <c:numRef>
              <c:f>Aggregation!$E$2:$E$4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950507131"/>
        <c:axId val="1563884594"/>
      </c:stockChart>
      <c:dateAx>
        <c:axId val="95050713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884594"/>
      </c:dateAx>
      <c:valAx>
        <c:axId val="1563884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Load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507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T4 Max Load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Aggregation!$C$6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Aggregation!$A$7:$A$9</c:f>
            </c:strRef>
          </c:cat>
          <c:val>
            <c:numRef>
              <c:f>Aggregation!$C$7:$C$9</c:f>
              <c:numCache/>
            </c:numRef>
          </c:val>
          <c:smooth val="0"/>
        </c:ser>
        <c:ser>
          <c:idx val="1"/>
          <c:order val="1"/>
          <c:tx>
            <c:strRef>
              <c:f>Aggregation!$F$6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Aggregation!$A$7:$A$9</c:f>
            </c:strRef>
          </c:cat>
          <c:val>
            <c:numRef>
              <c:f>Aggregation!$F$7:$F$9</c:f>
              <c:numCache/>
            </c:numRef>
          </c:val>
          <c:smooth val="0"/>
        </c:ser>
        <c:ser>
          <c:idx val="2"/>
          <c:order val="2"/>
          <c:tx>
            <c:strRef>
              <c:f>Aggregation!$B$6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Aggregation!$A$7:$A$9</c:f>
            </c:strRef>
          </c:cat>
          <c:val>
            <c:numRef>
              <c:f>Aggregation!$B$7:$B$9</c:f>
              <c:numCache/>
            </c:numRef>
          </c:val>
          <c:smooth val="0"/>
        </c:ser>
        <c:ser>
          <c:idx val="3"/>
          <c:order val="3"/>
          <c:tx>
            <c:strRef>
              <c:f>Aggregation!$E$6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Aggregation!$A$7:$A$9</c:f>
            </c:strRef>
          </c:cat>
          <c:val>
            <c:numRef>
              <c:f>Aggregation!$E$7:$E$9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117232718"/>
        <c:axId val="191998857"/>
      </c:stockChart>
      <c:dateAx>
        <c:axId val="111723271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98857"/>
      </c:dateAx>
      <c:valAx>
        <c:axId val="191998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Load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232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T1 Infill Pattern Testing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Aggregation!$B$21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Aggregation!$A$22:$A$27</c:f>
            </c:numRef>
          </c:xVal>
          <c:yVal>
            <c:numRef>
              <c:f>Aggregation!$B$22:$B$27</c:f>
              <c:numCache/>
            </c:numRef>
          </c:yVal>
        </c:ser>
        <c:ser>
          <c:idx val="1"/>
          <c:order val="1"/>
          <c:tx>
            <c:strRef>
              <c:f>Aggregation!$C$21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Aggregation!$A$22:$A$27</c:f>
            </c:numRef>
          </c:xVal>
          <c:yVal>
            <c:numRef>
              <c:f>Aggregation!$C$22:$C$27</c:f>
              <c:numCache/>
            </c:numRef>
          </c:yVal>
        </c:ser>
        <c:ser>
          <c:idx val="2"/>
          <c:order val="2"/>
          <c:tx>
            <c:strRef>
              <c:f>Aggregation!$D$21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Aggregation!$A$22:$A$27</c:f>
            </c:numRef>
          </c:xVal>
          <c:yVal>
            <c:numRef>
              <c:f>Aggregation!$D$22:$D$26</c:f>
              <c:numCache/>
            </c:numRef>
          </c:yVal>
        </c:ser>
        <c:ser>
          <c:idx val="3"/>
          <c:order val="3"/>
          <c:tx>
            <c:strRef>
              <c:f>Aggregation!$E$21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Aggregation!$A$22:$A$27</c:f>
            </c:numRef>
          </c:xVal>
          <c:yVal>
            <c:numRef>
              <c:f>Aggregation!$E$22:$E$28</c:f>
              <c:numCache/>
            </c:numRef>
          </c:yVal>
        </c:ser>
        <c:ser>
          <c:idx val="4"/>
          <c:order val="4"/>
          <c:tx>
            <c:strRef>
              <c:f>Aggregation!$F$21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8E7CC3"/>
              </a:solidFill>
              <a:ln cmpd="sng">
                <a:solidFill>
                  <a:srgbClr val="8E7CC3"/>
                </a:solidFill>
              </a:ln>
            </c:spPr>
          </c:marker>
          <c:xVal>
            <c:numRef>
              <c:f>Aggregation!$A$22:$A$27</c:f>
            </c:numRef>
          </c:xVal>
          <c:yVal>
            <c:numRef>
              <c:f>Aggregation!$F$22:$F$26</c:f>
              <c:numCache/>
            </c:numRef>
          </c:yVal>
        </c:ser>
        <c:ser>
          <c:idx val="5"/>
          <c:order val="5"/>
          <c:tx>
            <c:strRef>
              <c:f>Aggregation!$G$21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Aggregation!$A$22:$A$27</c:f>
            </c:numRef>
          </c:xVal>
          <c:yVal>
            <c:numRef>
              <c:f>Aggregation!$G$22:$G$26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061778"/>
        <c:axId val="1548997984"/>
      </c:scatterChart>
      <c:valAx>
        <c:axId val="17840617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Infill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997984"/>
      </c:valAx>
      <c:valAx>
        <c:axId val="1548997984"/>
        <c:scaling>
          <c:orientation val="minMax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Load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406177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1" Type="http://schemas.openxmlformats.org/officeDocument/2006/relationships/chart" Target="../charts/chart17.xml"/><Relationship Id="rId10" Type="http://schemas.openxmlformats.org/officeDocument/2006/relationships/chart" Target="../charts/chart16.xml"/><Relationship Id="rId12" Type="http://schemas.openxmlformats.org/officeDocument/2006/relationships/chart" Target="../charts/chart18.xml"/><Relationship Id="rId9" Type="http://schemas.openxmlformats.org/officeDocument/2006/relationships/chart" Target="../charts/chart15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876300</xdr:colOff>
      <xdr:row>0</xdr:row>
      <xdr:rowOff>219075</xdr:rowOff>
    </xdr:from>
    <xdr:ext cx="3238500" cy="1714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47625</xdr:colOff>
      <xdr:row>13</xdr:row>
      <xdr:rowOff>0</xdr:rowOff>
    </xdr:from>
    <xdr:ext cx="2971800" cy="1838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304800</xdr:colOff>
      <xdr:row>36</xdr:row>
      <xdr:rowOff>190500</xdr:rowOff>
    </xdr:from>
    <xdr:ext cx="2581275" cy="1590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200025</xdr:colOff>
      <xdr:row>55</xdr:row>
      <xdr:rowOff>9525</xdr:rowOff>
    </xdr:from>
    <xdr:ext cx="2686050" cy="16573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962025</xdr:colOff>
      <xdr:row>64</xdr:row>
      <xdr:rowOff>95250</xdr:rowOff>
    </xdr:from>
    <xdr:ext cx="2781300" cy="17145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923925</xdr:colOff>
      <xdr:row>83</xdr:row>
      <xdr:rowOff>171450</xdr:rowOff>
    </xdr:from>
    <xdr:ext cx="2781300" cy="17145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847725</xdr:colOff>
      <xdr:row>15</xdr:row>
      <xdr:rowOff>28575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504825</xdr:colOff>
      <xdr:row>11</xdr:row>
      <xdr:rowOff>19050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1276350</xdr:colOff>
      <xdr:row>34</xdr:row>
      <xdr:rowOff>95250</xdr:rowOff>
    </xdr:from>
    <xdr:ext cx="7715250" cy="53149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1362075</xdr:colOff>
      <xdr:row>78</xdr:row>
      <xdr:rowOff>57150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1200150</xdr:colOff>
      <xdr:row>59</xdr:row>
      <xdr:rowOff>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38100</xdr:colOff>
      <xdr:row>61</xdr:row>
      <xdr:rowOff>9525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1333500</xdr:colOff>
      <xdr:row>32</xdr:row>
      <xdr:rowOff>9525</xdr:rowOff>
    </xdr:from>
    <xdr:ext cx="8201025" cy="50768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523875</xdr:colOff>
      <xdr:row>18</xdr:row>
      <xdr:rowOff>114300</xdr:rowOff>
    </xdr:from>
    <xdr:ext cx="7315200" cy="45243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723900</xdr:colOff>
      <xdr:row>124</xdr:row>
      <xdr:rowOff>19050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76200</xdr:colOff>
      <xdr:row>144</xdr:row>
      <xdr:rowOff>171450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7</xdr:col>
      <xdr:colOff>190500</xdr:colOff>
      <xdr:row>183</xdr:row>
      <xdr:rowOff>85725</xdr:rowOff>
    </xdr:from>
    <xdr:ext cx="12325350" cy="76200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23</xdr:col>
      <xdr:colOff>857250</xdr:colOff>
      <xdr:row>27</xdr:row>
      <xdr:rowOff>95250</xdr:rowOff>
    </xdr:from>
    <xdr:ext cx="7477125" cy="42291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4" displayName="Table_1" id="1">
  <tableColumns count="10">
    <tableColumn name="100% Infill T1" id="1"/>
    <tableColumn name="Low" id="2"/>
    <tableColumn name="1st Quartile" id="3"/>
    <tableColumn name="Median" id="4"/>
    <tableColumn name="3rd Quartile" id="5"/>
    <tableColumn name="High" id="6"/>
    <tableColumn name="Mean Ult. Load (kg)" id="7"/>
    <tableColumn name="Std dev. (kg)" id="8"/>
    <tableColumn name="Mean Ult. Stress (MPa)" id="9"/>
    <tableColumn name="Std dev. (MPA)" id="10"/>
  </tableColumns>
  <tableStyleInfo name="Aggregation-style" showColumnStripes="0" showFirstColumn="1" showLastColumn="1" showRowStripes="1"/>
</table>
</file>

<file path=xl/tables/table2.xml><?xml version="1.0" encoding="utf-8"?>
<table xmlns="http://schemas.openxmlformats.org/spreadsheetml/2006/main" ref="A6:J9" displayName="Table_2" id="2">
  <tableColumns count="10">
    <tableColumn name="100% Infill T4" id="1"/>
    <tableColumn name="Low" id="2"/>
    <tableColumn name="1st Quartile" id="3"/>
    <tableColumn name="Median" id="4"/>
    <tableColumn name="3rd Quartile" id="5"/>
    <tableColumn name="High" id="6"/>
    <tableColumn name="Mean Ult. Load (kg)" id="7"/>
    <tableColumn name="Std dev. (kg)" id="8"/>
    <tableColumn name="Mean Ult. Stress (MPa)" id="9"/>
    <tableColumn name="Std dev. (MPA)" id="10"/>
  </tableColumns>
  <tableStyleInfo name="Aggregation-style 2" showColumnStripes="0" showFirstColumn="1" showLastColumn="1" showRowStripes="1"/>
</table>
</file>

<file path=xl/tables/table3.xml><?xml version="1.0" encoding="utf-8"?>
<table xmlns="http://schemas.openxmlformats.org/spreadsheetml/2006/main" headerRowCount="0" ref="A11:J18" displayName="Table_3" id="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Aggregation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29:D43" displayName="Table_4" id="4">
  <tableColumns count="4">
    <tableColumn name="Column1" id="1"/>
    <tableColumn name="Column2" id="2"/>
    <tableColumn name="Column3" id="3"/>
    <tableColumn name="Column4" id="4"/>
  </tableColumns>
  <tableStyleInfo name="Aggregation-style 4" showColumnStripes="0" showFirstColumn="1" showLastColumn="1" showRowStripes="1"/>
</table>
</file>

<file path=xl/tables/table5.xml><?xml version="1.0" encoding="utf-8"?>
<table xmlns="http://schemas.openxmlformats.org/spreadsheetml/2006/main" headerRowCount="0" ref="A23:J30" displayName="Table_5" id="5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Display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2:J19" displayName="Table_6" id="6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Display Dat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3" max="3" width="23.38"/>
    <col customWidth="1" min="4" max="4" width="19.5"/>
    <col customWidth="1" min="11" max="11" width="15.63"/>
    <col customWidth="1" min="12" max="12" width="19.75"/>
    <col customWidth="1" min="13" max="13" width="31.38"/>
    <col customWidth="1" min="14" max="14" width="17.13"/>
    <col customWidth="1" min="15" max="15" width="23.88"/>
    <col customWidth="1" min="16" max="16" width="23.38"/>
    <col customWidth="1" min="18" max="18" width="15.5"/>
    <col customWidth="1" min="19" max="19" width="23.13"/>
    <col customWidth="1" min="20" max="20" width="22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</row>
    <row r="2">
      <c r="A2" s="2" t="s">
        <v>9</v>
      </c>
      <c r="B2" s="2">
        <v>35.04</v>
      </c>
      <c r="C2" s="3">
        <f t="shared" ref="C2:C11" si="1">3*(9.81*B2)*(0.16)/(2*0.015*POWER(0.01,2)*POW(10,6))</f>
        <v>54.998784</v>
      </c>
      <c r="D2" s="2">
        <v>0.03161</v>
      </c>
      <c r="E2" s="2" t="s">
        <v>10</v>
      </c>
      <c r="K2" s="2" t="s">
        <v>11</v>
      </c>
      <c r="L2" s="4">
        <v>100.0</v>
      </c>
      <c r="M2" s="5">
        <v>35.238</v>
      </c>
      <c r="N2" s="5">
        <f>G12</f>
        <v>55.3095648</v>
      </c>
      <c r="O2" s="6"/>
    </row>
    <row r="3">
      <c r="A3" s="2" t="s">
        <v>12</v>
      </c>
      <c r="B3" s="2">
        <v>34.6</v>
      </c>
      <c r="C3" s="3">
        <f t="shared" si="1"/>
        <v>54.30816</v>
      </c>
      <c r="D3" s="2">
        <v>0.03823</v>
      </c>
      <c r="E3" s="2" t="s">
        <v>10</v>
      </c>
      <c r="K3" s="2" t="s">
        <v>13</v>
      </c>
      <c r="L3" s="4">
        <v>100.0</v>
      </c>
      <c r="M3" s="4">
        <v>31.75</v>
      </c>
      <c r="N3" s="5">
        <f>C24</f>
        <v>45.3269088</v>
      </c>
      <c r="O3" s="6">
        <f>N3/N2</f>
        <v>0.8195130257</v>
      </c>
    </row>
    <row r="4">
      <c r="A4" s="2" t="s">
        <v>14</v>
      </c>
      <c r="B4" s="2">
        <v>36.01</v>
      </c>
      <c r="C4" s="3">
        <f t="shared" si="1"/>
        <v>56.521296</v>
      </c>
      <c r="D4" s="2">
        <v>0.05578</v>
      </c>
      <c r="K4" s="2" t="s">
        <v>15</v>
      </c>
      <c r="L4" s="4">
        <v>80.0</v>
      </c>
      <c r="M4" s="4">
        <v>34.150000000000006</v>
      </c>
      <c r="N4" s="5">
        <f>C44</f>
        <v>53.60184</v>
      </c>
      <c r="O4" s="6">
        <f>N4/N2</f>
        <v>0.9691242409</v>
      </c>
    </row>
    <row r="5">
      <c r="A5" s="2" t="s">
        <v>16</v>
      </c>
      <c r="B5" s="2">
        <v>35.31</v>
      </c>
      <c r="C5" s="3">
        <f t="shared" si="1"/>
        <v>55.422576</v>
      </c>
      <c r="D5" s="2">
        <v>0.05566</v>
      </c>
      <c r="E5" s="2" t="s">
        <v>10</v>
      </c>
      <c r="K5" s="2" t="s">
        <v>17</v>
      </c>
      <c r="L5" s="4">
        <v>60.0</v>
      </c>
      <c r="M5" s="4">
        <v>21.21166666666667</v>
      </c>
      <c r="N5" s="5">
        <f>C63</f>
        <v>33.293832</v>
      </c>
      <c r="O5" s="6">
        <f>N5/N2</f>
        <v>0.6019543296</v>
      </c>
    </row>
    <row r="6">
      <c r="A6" s="2" t="s">
        <v>18</v>
      </c>
      <c r="B6" s="2">
        <v>35.23</v>
      </c>
      <c r="C6" s="3">
        <f t="shared" si="1"/>
        <v>55.297008</v>
      </c>
      <c r="D6" s="2">
        <v>0.06157</v>
      </c>
      <c r="E6" s="2" t="s">
        <v>10</v>
      </c>
      <c r="K6" s="2" t="s">
        <v>19</v>
      </c>
      <c r="L6" s="4">
        <v>40.0</v>
      </c>
      <c r="M6" s="4">
        <v>24.065</v>
      </c>
      <c r="N6" s="5">
        <f>C82</f>
        <v>37.772424</v>
      </c>
      <c r="O6" s="6">
        <f>N6/N2</f>
        <v>0.6829275214</v>
      </c>
    </row>
    <row r="7">
      <c r="A7" s="2" t="s">
        <v>20</v>
      </c>
      <c r="B7" s="2">
        <v>25.97</v>
      </c>
      <c r="C7" s="3">
        <f t="shared" si="1"/>
        <v>40.762512</v>
      </c>
      <c r="D7" s="2"/>
      <c r="K7" s="2" t="s">
        <v>21</v>
      </c>
      <c r="L7" s="4">
        <v>20.0</v>
      </c>
      <c r="M7" s="5"/>
      <c r="N7" s="5">
        <f>C91</f>
        <v>32.93544</v>
      </c>
      <c r="O7" s="6">
        <f>N7/N2</f>
        <v>0.5954745824</v>
      </c>
    </row>
    <row r="8">
      <c r="A8" s="2" t="s">
        <v>22</v>
      </c>
      <c r="B8" s="2">
        <v>27.64</v>
      </c>
      <c r="C8" s="3">
        <f t="shared" si="1"/>
        <v>43.383744</v>
      </c>
      <c r="D8" s="2"/>
    </row>
    <row r="9">
      <c r="A9" s="2" t="s">
        <v>23</v>
      </c>
      <c r="B9" s="2">
        <v>27.23</v>
      </c>
      <c r="C9" s="3">
        <f t="shared" si="1"/>
        <v>42.740208</v>
      </c>
      <c r="D9" s="2"/>
      <c r="E9" s="7" t="s">
        <v>24</v>
      </c>
    </row>
    <row r="10">
      <c r="A10" s="2" t="s">
        <v>25</v>
      </c>
      <c r="B10" s="2">
        <v>33.46</v>
      </c>
      <c r="C10" s="3">
        <f t="shared" si="1"/>
        <v>52.518816</v>
      </c>
      <c r="D10" s="2"/>
      <c r="L10" s="8" t="s">
        <v>26</v>
      </c>
      <c r="M10" s="9" t="s">
        <v>6</v>
      </c>
      <c r="N10" s="9" t="s">
        <v>7</v>
      </c>
      <c r="O10" s="9" t="s">
        <v>8</v>
      </c>
    </row>
    <row r="11">
      <c r="A11" s="2" t="s">
        <v>27</v>
      </c>
      <c r="B11" s="2">
        <v>42.028</v>
      </c>
      <c r="C11" s="3">
        <f t="shared" si="1"/>
        <v>65.9671488</v>
      </c>
      <c r="D11" s="2"/>
      <c r="L11" s="9" t="s">
        <v>28</v>
      </c>
      <c r="M11" s="10">
        <f t="shared" ref="M11:N11" si="2">AVERAGE(B18:B23)</f>
        <v>28.878</v>
      </c>
      <c r="N11" s="10">
        <f t="shared" si="2"/>
        <v>45.3269088</v>
      </c>
      <c r="O11" s="11">
        <f>C24/G12</f>
        <v>0.8195130257</v>
      </c>
    </row>
    <row r="12">
      <c r="A12" s="2" t="s">
        <v>29</v>
      </c>
      <c r="B12" s="2">
        <f t="shared" ref="B12:D12" si="3">AVERAGE(B2:B11)</f>
        <v>33.2518</v>
      </c>
      <c r="C12" s="2">
        <f t="shared" si="3"/>
        <v>52.19202528</v>
      </c>
      <c r="D12" s="2">
        <f t="shared" si="3"/>
        <v>0.04857</v>
      </c>
      <c r="E12" s="2"/>
      <c r="F12" s="12">
        <f t="shared" ref="F12:G12" si="4">AVERAGE(B2:B6)</f>
        <v>35.238</v>
      </c>
      <c r="G12" s="12">
        <f t="shared" si="4"/>
        <v>55.3095648</v>
      </c>
      <c r="H12" s="13" t="s">
        <v>30</v>
      </c>
      <c r="L12" s="9" t="s">
        <v>31</v>
      </c>
      <c r="M12" s="10">
        <f t="shared" ref="M12:N12" si="5">AVERAGE(B28:B31)</f>
        <v>43.4075</v>
      </c>
      <c r="N12" s="14">
        <f t="shared" si="5"/>
        <v>68.132412</v>
      </c>
      <c r="O12" s="11">
        <f>C34/G12</f>
        <v>1.231837789</v>
      </c>
    </row>
    <row r="13">
      <c r="A13" s="2" t="s">
        <v>32</v>
      </c>
      <c r="B13" s="2">
        <f t="shared" ref="B13:D13" si="6">STDEV(B2:B11)</f>
        <v>4.928561336</v>
      </c>
      <c r="C13" s="2">
        <f t="shared" si="6"/>
        <v>7.735869873</v>
      </c>
      <c r="D13" s="2">
        <f t="shared" si="6"/>
        <v>0.01290164137</v>
      </c>
      <c r="L13" s="9" t="s">
        <v>33</v>
      </c>
      <c r="M13" s="10">
        <f t="shared" ref="M13:N13" si="7">AVERAGE(B273:B278)</f>
        <v>31.35166667</v>
      </c>
      <c r="N13" s="10">
        <f t="shared" si="7"/>
        <v>49.209576</v>
      </c>
      <c r="O13" s="11">
        <f>B279/$F$12</f>
        <v>0.8897118641</v>
      </c>
    </row>
    <row r="14">
      <c r="A14" s="2"/>
      <c r="B14" s="2"/>
      <c r="D14" s="2"/>
      <c r="L14" s="9" t="s">
        <v>34</v>
      </c>
      <c r="M14" s="10">
        <f t="shared" ref="M14:N14" si="8">AVERAGE(B283:B288)</f>
        <v>44.385</v>
      </c>
      <c r="N14" s="10">
        <f t="shared" si="8"/>
        <v>69.666696</v>
      </c>
      <c r="O14" s="11">
        <f>B289/$F$12</f>
        <v>1.259577729</v>
      </c>
    </row>
    <row r="15">
      <c r="A15" s="2" t="s">
        <v>35</v>
      </c>
      <c r="B15" s="2">
        <v>36.51</v>
      </c>
      <c r="C15" s="15">
        <f t="shared" ref="C15:C16" si="9">3*(9.81*B15)*(0.16)/(2*0.015*POWER(0.01,2)*POW(10,6))</f>
        <v>57.306096</v>
      </c>
      <c r="D15" s="2">
        <v>0.200308</v>
      </c>
      <c r="E15" s="2" t="s">
        <v>10</v>
      </c>
      <c r="R15" s="16"/>
      <c r="S15" s="16"/>
      <c r="T15" s="16"/>
    </row>
    <row r="16">
      <c r="A16" s="2"/>
      <c r="B16" s="2">
        <v>41.23</v>
      </c>
      <c r="C16" s="15">
        <f t="shared" si="9"/>
        <v>64.714608</v>
      </c>
      <c r="D16" s="2" t="s">
        <v>36</v>
      </c>
      <c r="R16" s="16"/>
      <c r="S16" s="16"/>
      <c r="T16" s="16"/>
    </row>
    <row r="17">
      <c r="A17" s="2"/>
      <c r="B17" s="2"/>
      <c r="D17" s="2"/>
      <c r="R17" s="16"/>
      <c r="S17" s="16"/>
      <c r="T17" s="16"/>
    </row>
    <row r="18" ht="29.25" customHeight="1">
      <c r="A18" s="2" t="s">
        <v>37</v>
      </c>
      <c r="B18" s="2">
        <v>26.63</v>
      </c>
      <c r="C18" s="12">
        <f t="shared" ref="C18:C22" si="10">3*(9.81*B18)*(0.16)/(2*0.015*POWER(0.01,2)*POW(10,6))</f>
        <v>41.798448</v>
      </c>
      <c r="D18" s="2">
        <v>0.01404</v>
      </c>
      <c r="E18" s="2" t="s">
        <v>38</v>
      </c>
      <c r="R18" s="17" t="s">
        <v>39</v>
      </c>
      <c r="S18" s="18" t="s">
        <v>7</v>
      </c>
      <c r="T18" s="18" t="s">
        <v>8</v>
      </c>
    </row>
    <row r="19">
      <c r="A19" s="2" t="s">
        <v>40</v>
      </c>
      <c r="B19" s="2">
        <v>31.37</v>
      </c>
      <c r="C19" s="12">
        <f t="shared" si="10"/>
        <v>49.238352</v>
      </c>
      <c r="D19" s="2">
        <v>0.02309</v>
      </c>
      <c r="R19" s="19" t="s">
        <v>11</v>
      </c>
      <c r="S19" s="20">
        <f>AVERAGE($C$2:$C$11)</f>
        <v>52.19202528</v>
      </c>
      <c r="T19" s="21"/>
    </row>
    <row r="20">
      <c r="A20" s="2" t="s">
        <v>41</v>
      </c>
      <c r="B20" s="2">
        <v>29.89</v>
      </c>
      <c r="C20" s="12">
        <f t="shared" si="10"/>
        <v>46.915344</v>
      </c>
      <c r="D20" s="2">
        <v>0.04048</v>
      </c>
      <c r="M20" s="9" t="s">
        <v>42</v>
      </c>
      <c r="N20" s="9" t="s">
        <v>6</v>
      </c>
      <c r="O20" s="9" t="s">
        <v>7</v>
      </c>
      <c r="P20" s="9" t="s">
        <v>8</v>
      </c>
      <c r="R20" s="22" t="s">
        <v>43</v>
      </c>
      <c r="S20" s="19">
        <f>AVERAGE($C$76:$C$81)</f>
        <v>37.772424</v>
      </c>
      <c r="T20" s="20">
        <f>$B$82/$F$12*100</f>
        <v>68.29275214</v>
      </c>
    </row>
    <row r="21">
      <c r="A21" s="2" t="s">
        <v>44</v>
      </c>
      <c r="B21" s="2">
        <v>29.59</v>
      </c>
      <c r="C21" s="12">
        <f t="shared" si="10"/>
        <v>46.444464</v>
      </c>
      <c r="D21" s="2">
        <v>0.02006</v>
      </c>
      <c r="E21" s="2" t="s">
        <v>45</v>
      </c>
      <c r="M21" s="9" t="s">
        <v>46</v>
      </c>
      <c r="N21" s="10">
        <f>AVERAGE(B76:B81)</f>
        <v>24.065</v>
      </c>
      <c r="O21" s="14">
        <f>AVERAGE($C$76:$C$81)</f>
        <v>37.772424</v>
      </c>
      <c r="P21" s="11">
        <f>$B$82/$F$12</f>
        <v>0.6829275214</v>
      </c>
      <c r="R21" s="22" t="s">
        <v>47</v>
      </c>
      <c r="S21" s="20">
        <f>AVERAGE($C$169:$C$174)</f>
        <v>39.062112</v>
      </c>
      <c r="T21" s="20">
        <f>$B$175/$F$12*100</f>
        <v>70.6245152</v>
      </c>
    </row>
    <row r="22">
      <c r="A22" s="2" t="s">
        <v>48</v>
      </c>
      <c r="B22" s="2">
        <v>26.91</v>
      </c>
      <c r="C22" s="12">
        <f t="shared" si="10"/>
        <v>42.237936</v>
      </c>
      <c r="D22" s="2">
        <v>0.02463</v>
      </c>
      <c r="M22" s="9" t="s">
        <v>49</v>
      </c>
      <c r="N22" s="10">
        <f>AVERAGE(B169:B174)</f>
        <v>24.88666667</v>
      </c>
      <c r="O22" s="10">
        <f>AVERAGE($C$169:$C$174)</f>
        <v>39.062112</v>
      </c>
      <c r="P22" s="11">
        <f>$B$175/$F$12</f>
        <v>0.706245152</v>
      </c>
      <c r="R22" s="23"/>
      <c r="S22" s="24"/>
      <c r="T22" s="25"/>
    </row>
    <row r="23">
      <c r="A23" s="2" t="s">
        <v>50</v>
      </c>
      <c r="D23" s="2">
        <v>0.03315</v>
      </c>
      <c r="E23" s="2" t="s">
        <v>10</v>
      </c>
      <c r="M23" s="9" t="s">
        <v>11</v>
      </c>
      <c r="N23" s="10">
        <f>AVERAGE(B2:B11)</f>
        <v>33.2518</v>
      </c>
      <c r="O23" s="10">
        <f>AVERAGE($C$2:$C$11)</f>
        <v>52.19202528</v>
      </c>
      <c r="P23" s="14"/>
    </row>
    <row r="24">
      <c r="A24" s="2" t="s">
        <v>29</v>
      </c>
      <c r="B24" s="2">
        <f t="shared" ref="B24:D24" si="11">AVERAGE(B18:B23)</f>
        <v>28.878</v>
      </c>
      <c r="C24" s="2">
        <f t="shared" si="11"/>
        <v>45.3269088</v>
      </c>
      <c r="D24" s="2">
        <f t="shared" si="11"/>
        <v>0.02590833333</v>
      </c>
      <c r="I24" s="26"/>
      <c r="J24" s="26" t="s">
        <v>8</v>
      </c>
      <c r="K24" s="26" t="s">
        <v>51</v>
      </c>
    </row>
    <row r="25">
      <c r="A25" s="2" t="s">
        <v>32</v>
      </c>
      <c r="B25" s="2">
        <f t="shared" ref="B25:D25" si="12">STDEV(B18:B23)</f>
        <v>2.041303505</v>
      </c>
      <c r="C25" s="2">
        <f t="shared" si="12"/>
        <v>3.204029982</v>
      </c>
      <c r="D25" s="2">
        <f t="shared" si="12"/>
        <v>0.009480640098</v>
      </c>
      <c r="I25" s="27"/>
      <c r="J25" s="27">
        <f t="shared" ref="J25:J26" si="13">B24/$F$12</f>
        <v>0.8195130257</v>
      </c>
      <c r="K25" s="27">
        <f>1-(1-J25)/(1-$J$119)</f>
        <v>0.7948585621</v>
      </c>
    </row>
    <row r="26">
      <c r="J26" s="27">
        <f t="shared" si="13"/>
        <v>0.05792903982</v>
      </c>
      <c r="M26" s="7" t="s">
        <v>52</v>
      </c>
    </row>
    <row r="27">
      <c r="M27" s="2" t="s">
        <v>53</v>
      </c>
    </row>
    <row r="28">
      <c r="A28" s="2" t="s">
        <v>54</v>
      </c>
      <c r="B28" s="2">
        <v>43.62</v>
      </c>
      <c r="C28" s="15">
        <f t="shared" ref="C28:C33" si="14">3*(9.81*B28)*(0.16)/(2*0.015*POWER(0.01,2)*POW(10,6))</f>
        <v>68.465952</v>
      </c>
      <c r="D28" s="2">
        <v>0.01735</v>
      </c>
      <c r="E28" s="2" t="s">
        <v>10</v>
      </c>
      <c r="M28" s="2" t="s">
        <v>55</v>
      </c>
    </row>
    <row r="29">
      <c r="A29" s="2" t="s">
        <v>56</v>
      </c>
      <c r="B29" s="2">
        <v>43.11</v>
      </c>
      <c r="C29" s="15">
        <f t="shared" si="14"/>
        <v>67.665456</v>
      </c>
      <c r="D29" s="2">
        <v>0.01304</v>
      </c>
      <c r="E29" s="2" t="s">
        <v>10</v>
      </c>
    </row>
    <row r="30">
      <c r="A30" s="2" t="s">
        <v>57</v>
      </c>
      <c r="B30" s="2">
        <v>42.64</v>
      </c>
      <c r="C30" s="15">
        <f t="shared" si="14"/>
        <v>66.927744</v>
      </c>
      <c r="D30" s="2">
        <v>0.0061</v>
      </c>
      <c r="E30" s="2" t="s">
        <v>58</v>
      </c>
    </row>
    <row r="31">
      <c r="A31" s="2" t="s">
        <v>59</v>
      </c>
      <c r="B31" s="2">
        <v>44.26</v>
      </c>
      <c r="C31" s="15">
        <f t="shared" si="14"/>
        <v>69.470496</v>
      </c>
      <c r="D31" s="2">
        <v>0.04055</v>
      </c>
      <c r="E31" s="2" t="s">
        <v>10</v>
      </c>
    </row>
    <row r="32">
      <c r="A32" s="2" t="s">
        <v>60</v>
      </c>
      <c r="B32" s="2">
        <v>55.6</v>
      </c>
      <c r="C32" s="15">
        <f t="shared" si="14"/>
        <v>87.26976</v>
      </c>
      <c r="D32" s="2">
        <v>0.0154</v>
      </c>
      <c r="E32" s="2" t="s">
        <v>10</v>
      </c>
      <c r="N32" s="28" t="s">
        <v>4</v>
      </c>
      <c r="O32" s="29" t="s">
        <v>7</v>
      </c>
      <c r="P32" s="29" t="s">
        <v>8</v>
      </c>
    </row>
    <row r="33">
      <c r="A33" s="2" t="s">
        <v>61</v>
      </c>
      <c r="B33" s="2">
        <v>32.88</v>
      </c>
      <c r="C33" s="15">
        <f t="shared" si="14"/>
        <v>51.608448</v>
      </c>
      <c r="D33" s="2">
        <v>0.0196972</v>
      </c>
      <c r="E33" s="2" t="s">
        <v>10</v>
      </c>
      <c r="N33" s="30" t="s">
        <v>11</v>
      </c>
      <c r="O33" s="14">
        <f>G12</f>
        <v>55.3095648</v>
      </c>
      <c r="P33" s="31"/>
    </row>
    <row r="34">
      <c r="A34" s="2" t="s">
        <v>29</v>
      </c>
      <c r="B34" s="15">
        <f t="shared" ref="B34:C34" si="15">AVERAGE(B28:B31)</f>
        <v>43.4075</v>
      </c>
      <c r="C34" s="15">
        <f t="shared" si="15"/>
        <v>68.132412</v>
      </c>
      <c r="J34" s="26" t="s">
        <v>8</v>
      </c>
      <c r="K34" s="26" t="s">
        <v>51</v>
      </c>
      <c r="N34" s="30" t="s">
        <v>13</v>
      </c>
      <c r="O34" s="14">
        <f>C24</f>
        <v>45.3269088</v>
      </c>
      <c r="P34" s="14">
        <f>N3/N2*100</f>
        <v>81.95130257</v>
      </c>
    </row>
    <row r="35">
      <c r="A35" s="2" t="s">
        <v>32</v>
      </c>
      <c r="B35" s="15">
        <f t="shared" ref="B35:C35" si="16">STDEV(B28:B31)</f>
        <v>0.6950959166</v>
      </c>
      <c r="C35" s="15">
        <f t="shared" si="16"/>
        <v>1.091022551</v>
      </c>
      <c r="J35" s="27">
        <f t="shared" ref="J35:J36" si="17">B34/$F$12</f>
        <v>1.231837789</v>
      </c>
      <c r="K35" s="27">
        <f>1-(1-J35)/(1-$J$119)</f>
        <v>1.263506757</v>
      </c>
      <c r="N35" s="30" t="s">
        <v>15</v>
      </c>
      <c r="O35" s="14">
        <f>C44</f>
        <v>53.60184</v>
      </c>
      <c r="P35" s="14">
        <f>N4/N2*100</f>
        <v>96.91242409</v>
      </c>
    </row>
    <row r="36">
      <c r="J36" s="27">
        <f t="shared" si="17"/>
        <v>0.01972574824</v>
      </c>
      <c r="N36" s="30" t="s">
        <v>17</v>
      </c>
      <c r="O36" s="14">
        <f>C63</f>
        <v>33.293832</v>
      </c>
      <c r="P36" s="14">
        <f>N5/N2*100</f>
        <v>60.19543296</v>
      </c>
    </row>
    <row r="37">
      <c r="N37" s="30" t="s">
        <v>19</v>
      </c>
      <c r="O37" s="14">
        <f>C82</f>
        <v>37.772424</v>
      </c>
      <c r="P37" s="14">
        <f>N6/N2*100</f>
        <v>68.29275214</v>
      </c>
    </row>
    <row r="38">
      <c r="A38" s="2" t="s">
        <v>62</v>
      </c>
      <c r="B38" s="2">
        <v>33.55</v>
      </c>
      <c r="C38" s="12">
        <f t="shared" ref="C38:C43" si="18">3*(9.81*B38)*(0.16)/(2*0.015*POWER(0.01,2)*POW(10,6))</f>
        <v>52.66008</v>
      </c>
      <c r="D38" s="2">
        <v>0.02494</v>
      </c>
      <c r="E38" s="2" t="s">
        <v>63</v>
      </c>
      <c r="N38" s="30" t="s">
        <v>21</v>
      </c>
      <c r="O38" s="14">
        <f>C91</f>
        <v>32.93544</v>
      </c>
      <c r="P38" s="14">
        <f>N7/N2*100</f>
        <v>59.54745824</v>
      </c>
    </row>
    <row r="39" ht="25.5" customHeight="1">
      <c r="A39" s="2" t="s">
        <v>64</v>
      </c>
      <c r="B39" s="2">
        <v>34.13</v>
      </c>
      <c r="C39" s="12">
        <f t="shared" si="18"/>
        <v>53.570448</v>
      </c>
      <c r="D39" s="2">
        <v>0.04133</v>
      </c>
      <c r="E39" s="2" t="s">
        <v>10</v>
      </c>
    </row>
    <row r="40">
      <c r="A40" s="2" t="s">
        <v>65</v>
      </c>
      <c r="B40" s="2">
        <v>31.59</v>
      </c>
      <c r="C40" s="12">
        <f t="shared" si="18"/>
        <v>49.583664</v>
      </c>
      <c r="D40" s="2">
        <v>0.02243</v>
      </c>
      <c r="E40" s="2" t="s">
        <v>10</v>
      </c>
      <c r="N40" s="17" t="s">
        <v>39</v>
      </c>
      <c r="O40" s="18" t="s">
        <v>7</v>
      </c>
      <c r="P40" s="18" t="s">
        <v>8</v>
      </c>
    </row>
    <row r="41">
      <c r="A41" s="2" t="s">
        <v>66</v>
      </c>
      <c r="B41" s="2">
        <v>33.9</v>
      </c>
      <c r="C41" s="12">
        <f t="shared" si="18"/>
        <v>53.20944</v>
      </c>
      <c r="D41" s="2">
        <v>0.04688</v>
      </c>
      <c r="E41" s="2" t="s">
        <v>67</v>
      </c>
      <c r="N41" s="19" t="s">
        <v>11</v>
      </c>
      <c r="O41" s="20">
        <f>AVERAGE($C$2:$C$11)</f>
        <v>52.19202528</v>
      </c>
      <c r="P41" s="21"/>
    </row>
    <row r="42">
      <c r="A42" s="2" t="s">
        <v>68</v>
      </c>
      <c r="B42" s="2">
        <v>33.9</v>
      </c>
      <c r="C42" s="12">
        <f t="shared" si="18"/>
        <v>53.20944</v>
      </c>
      <c r="D42" s="2">
        <v>0.05979</v>
      </c>
      <c r="E42" s="2" t="s">
        <v>69</v>
      </c>
      <c r="N42" s="22" t="s">
        <v>43</v>
      </c>
      <c r="O42" s="19">
        <f>AVERAGE($C$76:$C$81)</f>
        <v>37.772424</v>
      </c>
      <c r="P42" s="20">
        <f>$B$82/$F$12*100</f>
        <v>68.29275214</v>
      </c>
    </row>
    <row r="43">
      <c r="A43" s="2" t="s">
        <v>70</v>
      </c>
      <c r="B43" s="2">
        <v>37.83</v>
      </c>
      <c r="C43" s="12">
        <f t="shared" si="18"/>
        <v>59.377968</v>
      </c>
      <c r="D43" s="2">
        <v>0.02216</v>
      </c>
      <c r="E43" s="2" t="s">
        <v>71</v>
      </c>
      <c r="N43" s="22" t="s">
        <v>47</v>
      </c>
      <c r="O43" s="20">
        <f>AVERAGE($C$169:$C$174)</f>
        <v>39.062112</v>
      </c>
      <c r="P43" s="20">
        <f>$B$175/$F$12*100</f>
        <v>70.6245152</v>
      </c>
    </row>
    <row r="44">
      <c r="A44" s="2" t="s">
        <v>29</v>
      </c>
      <c r="B44" s="2">
        <f t="shared" ref="B44:D44" si="19">AVERAGE(B38:B43)</f>
        <v>34.15</v>
      </c>
      <c r="C44" s="2">
        <f t="shared" si="19"/>
        <v>53.60184</v>
      </c>
      <c r="D44" s="2">
        <f t="shared" si="19"/>
        <v>0.036255</v>
      </c>
      <c r="I44" s="26"/>
      <c r="J44" s="26" t="s">
        <v>8</v>
      </c>
      <c r="K44" s="26" t="s">
        <v>51</v>
      </c>
    </row>
    <row r="45">
      <c r="A45" s="2" t="s">
        <v>32</v>
      </c>
      <c r="B45" s="2">
        <f t="shared" ref="B45:D45" si="20">STDEV(B38:B43)</f>
        <v>2.02886175</v>
      </c>
      <c r="C45" s="2">
        <f t="shared" si="20"/>
        <v>3.184501403</v>
      </c>
      <c r="D45" s="2">
        <f t="shared" si="20"/>
        <v>0.01555873613</v>
      </c>
      <c r="I45" s="27"/>
      <c r="J45" s="27">
        <f>B44/$F$12</f>
        <v>0.9691242409</v>
      </c>
      <c r="K45" s="27">
        <f>1-(1-J45)/(1-$J$119)</f>
        <v>0.9649066219</v>
      </c>
    </row>
    <row r="46">
      <c r="J46" s="27"/>
    </row>
    <row r="47">
      <c r="A47" s="32" t="s">
        <v>72</v>
      </c>
      <c r="J47" s="27"/>
    </row>
    <row r="48">
      <c r="A48" s="2" t="s">
        <v>73</v>
      </c>
      <c r="B48" s="2">
        <v>42.17</v>
      </c>
      <c r="C48" s="15">
        <f t="shared" ref="C48:C53" si="21">3*(9.81*B48)*(0.16)/(2*0.015*POWER(0.01,2)*POW(10,6))</f>
        <v>66.190032</v>
      </c>
      <c r="D48" s="2">
        <v>0.0547878</v>
      </c>
      <c r="E48" s="2" t="s">
        <v>10</v>
      </c>
      <c r="J48" s="27"/>
    </row>
    <row r="49">
      <c r="A49" s="2" t="s">
        <v>74</v>
      </c>
      <c r="B49" s="2">
        <v>42.75</v>
      </c>
      <c r="C49" s="15">
        <f t="shared" si="21"/>
        <v>67.1004</v>
      </c>
      <c r="D49" s="2">
        <v>0.0299702</v>
      </c>
      <c r="E49" s="2" t="s">
        <v>10</v>
      </c>
      <c r="J49" s="27"/>
    </row>
    <row r="50">
      <c r="A50" s="2" t="s">
        <v>75</v>
      </c>
      <c r="B50" s="2">
        <v>42.69</v>
      </c>
      <c r="C50" s="15">
        <f t="shared" si="21"/>
        <v>67.006224</v>
      </c>
      <c r="D50" s="2">
        <v>0.0237501</v>
      </c>
      <c r="E50" s="2" t="s">
        <v>10</v>
      </c>
      <c r="J50" s="27"/>
    </row>
    <row r="51">
      <c r="A51" s="2" t="s">
        <v>76</v>
      </c>
      <c r="B51" s="2">
        <v>38.44</v>
      </c>
      <c r="C51" s="15">
        <f t="shared" si="21"/>
        <v>60.335424</v>
      </c>
      <c r="D51" s="2">
        <v>0.0101554</v>
      </c>
      <c r="E51" s="2" t="s">
        <v>10</v>
      </c>
      <c r="J51" s="27"/>
    </row>
    <row r="52">
      <c r="A52" s="2" t="s">
        <v>77</v>
      </c>
      <c r="B52" s="2">
        <v>40.02</v>
      </c>
      <c r="C52" s="15">
        <f t="shared" si="21"/>
        <v>62.815392</v>
      </c>
      <c r="D52" s="2">
        <v>0.0012146</v>
      </c>
      <c r="J52" s="27">
        <f>B45/$F$12</f>
        <v>0.05757596203</v>
      </c>
    </row>
    <row r="53">
      <c r="A53" s="2" t="s">
        <v>78</v>
      </c>
      <c r="B53" s="2">
        <v>37.72</v>
      </c>
      <c r="C53" s="15">
        <f t="shared" si="21"/>
        <v>59.205312</v>
      </c>
      <c r="D53" s="2">
        <v>0.0513037</v>
      </c>
      <c r="J53" s="27"/>
    </row>
    <row r="54">
      <c r="A54" s="2" t="s">
        <v>79</v>
      </c>
      <c r="B54" s="12">
        <f t="shared" ref="B54:C54" si="22">AVERAGE(B48:B53)</f>
        <v>40.63166667</v>
      </c>
      <c r="C54" s="12">
        <f t="shared" si="22"/>
        <v>63.775464</v>
      </c>
      <c r="J54" s="27"/>
    </row>
    <row r="55">
      <c r="A55" s="2" t="s">
        <v>32</v>
      </c>
      <c r="B55" s="12">
        <f t="shared" ref="B55:C55" si="23">STDEV(B48:B53)</f>
        <v>2.224674508</v>
      </c>
      <c r="C55" s="12">
        <f t="shared" si="23"/>
        <v>3.491849108</v>
      </c>
      <c r="J55" s="27"/>
    </row>
    <row r="57">
      <c r="A57" s="2" t="s">
        <v>80</v>
      </c>
      <c r="B57" s="2">
        <v>20.62</v>
      </c>
      <c r="C57" s="12">
        <f t="shared" ref="C57:C62" si="24">3*(9.81*B57)*(0.16)/(2*0.015*POWER(0.01,2)*POW(10,6))</f>
        <v>32.365152</v>
      </c>
      <c r="D57" s="2">
        <v>0.02616</v>
      </c>
      <c r="E57" s="2" t="s">
        <v>81</v>
      </c>
    </row>
    <row r="58">
      <c r="A58" s="2" t="s">
        <v>82</v>
      </c>
      <c r="B58" s="2">
        <v>19.34</v>
      </c>
      <c r="C58" s="12">
        <f t="shared" si="24"/>
        <v>30.356064</v>
      </c>
      <c r="D58" s="2">
        <v>0.01517</v>
      </c>
      <c r="E58" s="2" t="s">
        <v>83</v>
      </c>
    </row>
    <row r="59">
      <c r="A59" s="2" t="s">
        <v>84</v>
      </c>
      <c r="B59" s="2">
        <v>18.85</v>
      </c>
      <c r="C59" s="12">
        <f t="shared" si="24"/>
        <v>29.58696</v>
      </c>
    </row>
    <row r="60">
      <c r="A60" s="2" t="s">
        <v>85</v>
      </c>
      <c r="B60" s="2">
        <v>23.48</v>
      </c>
      <c r="C60" s="12">
        <f t="shared" si="24"/>
        <v>36.854208</v>
      </c>
      <c r="D60" s="2">
        <v>0.02779</v>
      </c>
      <c r="E60" s="2" t="s">
        <v>86</v>
      </c>
    </row>
    <row r="61">
      <c r="A61" s="2" t="s">
        <v>87</v>
      </c>
      <c r="B61" s="2">
        <v>23.5</v>
      </c>
      <c r="C61" s="12">
        <f t="shared" si="24"/>
        <v>36.8856</v>
      </c>
    </row>
    <row r="62">
      <c r="A62" s="2" t="s">
        <v>88</v>
      </c>
      <c r="B62" s="2">
        <v>21.48</v>
      </c>
      <c r="C62" s="12">
        <f t="shared" si="24"/>
        <v>33.715008</v>
      </c>
      <c r="D62" s="2">
        <v>0.05447</v>
      </c>
      <c r="E62" s="2" t="s">
        <v>89</v>
      </c>
    </row>
    <row r="63">
      <c r="A63" s="2" t="s">
        <v>29</v>
      </c>
      <c r="B63" s="2">
        <f t="shared" ref="B63:D63" si="25">AVERAGE(B57:B62)</f>
        <v>21.21166667</v>
      </c>
      <c r="C63" s="2">
        <f t="shared" si="25"/>
        <v>33.293832</v>
      </c>
      <c r="D63" s="2">
        <f t="shared" si="25"/>
        <v>0.0308975</v>
      </c>
      <c r="I63" s="26"/>
      <c r="J63" s="26" t="s">
        <v>8</v>
      </c>
      <c r="K63" s="26" t="s">
        <v>51</v>
      </c>
    </row>
    <row r="64">
      <c r="A64" s="2" t="s">
        <v>32</v>
      </c>
      <c r="B64" s="2">
        <f t="shared" ref="B64:D64" si="26">STDEV(B57:B62)</f>
        <v>1.994215802</v>
      </c>
      <c r="C64" s="2">
        <f t="shared" si="26"/>
        <v>3.130121123</v>
      </c>
      <c r="D64" s="2">
        <f t="shared" si="26"/>
        <v>0.01668449854</v>
      </c>
      <c r="I64" s="27"/>
      <c r="J64" s="27">
        <f t="shared" ref="J64:J65" si="27">B63/$F$12</f>
        <v>0.6019543296</v>
      </c>
      <c r="K64" s="27">
        <f>1-(1-J64)/(1-$J$119)</f>
        <v>0.5475814169</v>
      </c>
    </row>
    <row r="65">
      <c r="J65" s="27">
        <f t="shared" si="27"/>
        <v>0.05659276356</v>
      </c>
    </row>
    <row r="66">
      <c r="A66" s="2" t="s">
        <v>90</v>
      </c>
      <c r="B66" s="2">
        <v>45.9</v>
      </c>
      <c r="D66" s="2">
        <v>0.0518233</v>
      </c>
      <c r="E66" s="2" t="s">
        <v>10</v>
      </c>
      <c r="J66" s="27"/>
    </row>
    <row r="67">
      <c r="A67" s="2" t="s">
        <v>91</v>
      </c>
      <c r="B67" s="2">
        <v>49.64</v>
      </c>
      <c r="D67" s="2">
        <v>0.0273369</v>
      </c>
      <c r="E67" s="2" t="s">
        <v>10</v>
      </c>
    </row>
    <row r="68">
      <c r="A68" s="2" t="s">
        <v>92</v>
      </c>
      <c r="B68" s="2">
        <v>48.77</v>
      </c>
      <c r="D68" s="2">
        <v>0.0346393</v>
      </c>
      <c r="E68" s="2" t="s">
        <v>10</v>
      </c>
    </row>
    <row r="69">
      <c r="A69" s="2" t="s">
        <v>93</v>
      </c>
      <c r="B69" s="2">
        <v>41.96</v>
      </c>
      <c r="D69" s="2">
        <v>0.0409068</v>
      </c>
      <c r="E69" s="2" t="s">
        <v>10</v>
      </c>
    </row>
    <row r="70">
      <c r="A70" s="2" t="s">
        <v>94</v>
      </c>
      <c r="B70" s="2">
        <v>40.21</v>
      </c>
      <c r="D70" s="2">
        <v>0.0324729</v>
      </c>
      <c r="E70" s="2" t="s">
        <v>10</v>
      </c>
    </row>
    <row r="71">
      <c r="A71" s="2" t="s">
        <v>95</v>
      </c>
      <c r="B71" s="2" t="s">
        <v>96</v>
      </c>
    </row>
    <row r="72">
      <c r="A72" s="2" t="s">
        <v>29</v>
      </c>
      <c r="B72" s="12">
        <f>AVERAGE(B66:B70)</f>
        <v>45.296</v>
      </c>
    </row>
    <row r="73">
      <c r="A73" s="2" t="s">
        <v>32</v>
      </c>
      <c r="B73" s="12">
        <f>stdev(B66:B70)</f>
        <v>4.132194332</v>
      </c>
    </row>
    <row r="76">
      <c r="A76" s="2" t="s">
        <v>97</v>
      </c>
      <c r="B76" s="2">
        <v>25.63</v>
      </c>
      <c r="C76" s="12">
        <f t="shared" ref="C76:C81" si="28">3*(9.81*B76)*(0.16)/(2*0.015*POWER(0.01,2)*POW(10,6))</f>
        <v>40.228848</v>
      </c>
      <c r="D76" s="2">
        <v>0.03644</v>
      </c>
      <c r="E76" s="2" t="s">
        <v>98</v>
      </c>
    </row>
    <row r="77">
      <c r="A77" s="2" t="s">
        <v>99</v>
      </c>
      <c r="B77" s="2">
        <v>24.41</v>
      </c>
      <c r="C77" s="12">
        <f t="shared" si="28"/>
        <v>38.313936</v>
      </c>
      <c r="D77" s="2">
        <v>0.02347</v>
      </c>
      <c r="E77" s="2" t="s">
        <v>100</v>
      </c>
    </row>
    <row r="78">
      <c r="A78" s="2" t="s">
        <v>101</v>
      </c>
      <c r="B78" s="2">
        <v>23.83</v>
      </c>
      <c r="C78" s="12">
        <f t="shared" si="28"/>
        <v>37.403568</v>
      </c>
      <c r="D78" s="2">
        <v>0.03988</v>
      </c>
      <c r="E78" s="2" t="s">
        <v>102</v>
      </c>
    </row>
    <row r="79">
      <c r="A79" s="2" t="s">
        <v>103</v>
      </c>
      <c r="B79" s="2">
        <v>23.2</v>
      </c>
      <c r="C79" s="12">
        <f t="shared" si="28"/>
        <v>36.41472</v>
      </c>
      <c r="D79" s="2">
        <v>0.01684</v>
      </c>
      <c r="E79" s="2" t="s">
        <v>104</v>
      </c>
    </row>
    <row r="80">
      <c r="A80" s="2" t="s">
        <v>105</v>
      </c>
      <c r="B80" s="2">
        <v>23.98</v>
      </c>
      <c r="C80" s="12">
        <f t="shared" si="28"/>
        <v>37.639008</v>
      </c>
      <c r="D80" s="2">
        <v>0.01379</v>
      </c>
      <c r="E80" s="2" t="s">
        <v>106</v>
      </c>
    </row>
    <row r="81">
      <c r="A81" s="2" t="s">
        <v>107</v>
      </c>
      <c r="B81" s="2">
        <v>23.34</v>
      </c>
      <c r="C81" s="12">
        <f t="shared" si="28"/>
        <v>36.634464</v>
      </c>
      <c r="D81" s="2">
        <v>0.01848</v>
      </c>
      <c r="E81" s="2" t="s">
        <v>89</v>
      </c>
    </row>
    <row r="82">
      <c r="A82" s="2" t="s">
        <v>29</v>
      </c>
      <c r="B82" s="2">
        <f t="shared" ref="B82:D82" si="29">AVERAGE(B76:B81)</f>
        <v>24.065</v>
      </c>
      <c r="C82" s="2">
        <f t="shared" si="29"/>
        <v>37.772424</v>
      </c>
      <c r="D82" s="2">
        <f t="shared" si="29"/>
        <v>0.02481666667</v>
      </c>
      <c r="I82" s="26"/>
      <c r="J82" s="26" t="s">
        <v>8</v>
      </c>
      <c r="K82" s="26" t="s">
        <v>51</v>
      </c>
    </row>
    <row r="83">
      <c r="A83" s="2" t="s">
        <v>32</v>
      </c>
      <c r="B83" s="2">
        <f t="shared" ref="B83:D83" si="30">STDEV(B76:B81)</f>
        <v>0.8836911225</v>
      </c>
      <c r="C83" s="2">
        <f t="shared" si="30"/>
        <v>1.387041586</v>
      </c>
      <c r="D83" s="2">
        <f t="shared" si="30"/>
        <v>0.01085529671</v>
      </c>
      <c r="I83" s="27"/>
      <c r="J83" s="33">
        <f t="shared" ref="J83:J84" si="31">B82/$F$12</f>
        <v>0.6829275214</v>
      </c>
      <c r="K83" s="27">
        <f>1-(1-J83)/(1-$J$119)</f>
        <v>0.6396155211</v>
      </c>
    </row>
    <row r="84">
      <c r="J84" s="33">
        <f t="shared" si="31"/>
        <v>0.02507778882</v>
      </c>
    </row>
    <row r="85">
      <c r="A85" s="2" t="s">
        <v>108</v>
      </c>
      <c r="B85" s="2">
        <v>22.05</v>
      </c>
      <c r="C85" s="15">
        <f t="shared" ref="C85:C90" si="32">3*(9.81*B85)*(0.16)/(2*0.015*POWER(0.01,2)*POW(10,6))</f>
        <v>34.60968</v>
      </c>
      <c r="D85" s="2">
        <v>0.01453</v>
      </c>
      <c r="E85" s="2" t="s">
        <v>109</v>
      </c>
    </row>
    <row r="86">
      <c r="A86" s="2" t="s">
        <v>110</v>
      </c>
      <c r="B86" s="2">
        <v>18.62</v>
      </c>
      <c r="C86" s="15">
        <f t="shared" si="32"/>
        <v>29.225952</v>
      </c>
      <c r="D86" s="2">
        <v>0.04637</v>
      </c>
      <c r="E86" s="2" t="s">
        <v>111</v>
      </c>
    </row>
    <row r="87">
      <c r="A87" s="2" t="s">
        <v>112</v>
      </c>
      <c r="B87" s="2">
        <v>21.57</v>
      </c>
      <c r="C87" s="15">
        <f t="shared" si="32"/>
        <v>33.856272</v>
      </c>
      <c r="E87" s="2" t="s">
        <v>113</v>
      </c>
    </row>
    <row r="88">
      <c r="A88" s="2" t="s">
        <v>114</v>
      </c>
      <c r="B88" s="2">
        <v>21.52</v>
      </c>
      <c r="C88" s="15">
        <f t="shared" si="32"/>
        <v>33.777792</v>
      </c>
      <c r="D88" s="2">
        <v>0.04073</v>
      </c>
      <c r="E88" s="2" t="s">
        <v>115</v>
      </c>
    </row>
    <row r="89">
      <c r="A89" s="2" t="s">
        <v>116</v>
      </c>
      <c r="B89" s="2">
        <v>20.87</v>
      </c>
      <c r="C89" s="15">
        <f t="shared" si="32"/>
        <v>32.757552</v>
      </c>
      <c r="D89" s="2">
        <v>0.02106</v>
      </c>
      <c r="E89" s="2" t="s">
        <v>117</v>
      </c>
    </row>
    <row r="90">
      <c r="A90" s="2" t="s">
        <v>118</v>
      </c>
      <c r="B90" s="2">
        <v>21.27</v>
      </c>
      <c r="C90" s="15">
        <f t="shared" si="32"/>
        <v>33.385392</v>
      </c>
      <c r="D90" s="2">
        <v>0.03791</v>
      </c>
      <c r="E90" s="2" t="s">
        <v>119</v>
      </c>
    </row>
    <row r="91">
      <c r="A91" s="2" t="s">
        <v>120</v>
      </c>
      <c r="B91" s="15">
        <f t="shared" ref="B91:D91" si="33">AVERAGE(B85:B90)</f>
        <v>20.98333333</v>
      </c>
      <c r="C91" s="15">
        <f t="shared" si="33"/>
        <v>32.93544</v>
      </c>
      <c r="D91" s="15">
        <f t="shared" si="33"/>
        <v>0.03212</v>
      </c>
      <c r="J91" s="2" t="s">
        <v>8</v>
      </c>
      <c r="K91" s="26" t="s">
        <v>51</v>
      </c>
    </row>
    <row r="92">
      <c r="A92" s="2" t="s">
        <v>32</v>
      </c>
      <c r="B92" s="15">
        <f t="shared" ref="B92:D92" si="34">STDEV(B85:B90)</f>
        <v>1.220682869</v>
      </c>
      <c r="C92" s="15">
        <f t="shared" si="34"/>
        <v>1.915983831</v>
      </c>
      <c r="D92" s="15">
        <f t="shared" si="34"/>
        <v>0.01362397152</v>
      </c>
      <c r="I92" s="27"/>
      <c r="J92" s="27">
        <f>B91/$B$12</f>
        <v>0.6310435325</v>
      </c>
      <c r="K92" s="27">
        <f>1-(1-J92)/(1-$J$119)</f>
        <v>0.5806441956</v>
      </c>
    </row>
    <row r="93">
      <c r="J93" s="27"/>
    </row>
    <row r="94">
      <c r="A94" s="2" t="s">
        <v>121</v>
      </c>
      <c r="B94" s="2">
        <v>28.32</v>
      </c>
      <c r="C94" s="15">
        <f t="shared" ref="C94:C96" si="35">3*(9.81*B94)*(0.16)/(2*0.015*POWER(0.01,2)*POW(10,6))</f>
        <v>44.451072</v>
      </c>
      <c r="D94" s="2">
        <v>0.01944</v>
      </c>
      <c r="E94" s="2" t="s">
        <v>10</v>
      </c>
      <c r="J94" s="27"/>
    </row>
    <row r="95">
      <c r="A95" s="2" t="s">
        <v>122</v>
      </c>
      <c r="B95" s="2">
        <v>28.03</v>
      </c>
      <c r="C95" s="15">
        <f t="shared" si="35"/>
        <v>43.995888</v>
      </c>
      <c r="D95" s="2" t="s">
        <v>123</v>
      </c>
      <c r="E95" s="2" t="s">
        <v>10</v>
      </c>
      <c r="J95" s="27">
        <f>B92/$B$12</f>
        <v>0.03671027941</v>
      </c>
    </row>
    <row r="96">
      <c r="A96" s="2" t="s">
        <v>124</v>
      </c>
      <c r="B96" s="2">
        <v>27.79</v>
      </c>
      <c r="C96" s="15">
        <f t="shared" si="35"/>
        <v>43.619184</v>
      </c>
      <c r="D96" s="2">
        <v>0.02069</v>
      </c>
      <c r="E96" s="2" t="s">
        <v>10</v>
      </c>
      <c r="J96" s="27"/>
    </row>
    <row r="97">
      <c r="A97" s="2" t="s">
        <v>125</v>
      </c>
      <c r="B97" s="2">
        <v>23.52</v>
      </c>
      <c r="D97" s="2">
        <v>7.0E-5</v>
      </c>
      <c r="E97" s="2" t="s">
        <v>126</v>
      </c>
      <c r="J97" s="27"/>
    </row>
    <row r="98">
      <c r="A98" s="2" t="s">
        <v>127</v>
      </c>
      <c r="B98" s="2">
        <v>31.43</v>
      </c>
      <c r="D98" s="2">
        <v>0.02302</v>
      </c>
      <c r="E98" s="2" t="s">
        <v>10</v>
      </c>
      <c r="J98" s="27"/>
    </row>
    <row r="99">
      <c r="A99" s="2" t="s">
        <v>128</v>
      </c>
      <c r="B99" s="2">
        <v>23.71</v>
      </c>
      <c r="D99" s="2">
        <v>0.0155</v>
      </c>
      <c r="E99" s="2" t="s">
        <v>10</v>
      </c>
      <c r="J99" s="27"/>
    </row>
    <row r="100">
      <c r="A100" s="2" t="s">
        <v>29</v>
      </c>
      <c r="B100" s="12">
        <f t="shared" ref="B100:C100" si="36">average(B94:B99)</f>
        <v>27.13333333</v>
      </c>
      <c r="C100" s="12">
        <f t="shared" si="36"/>
        <v>44.022048</v>
      </c>
      <c r="J100" s="27"/>
    </row>
    <row r="101">
      <c r="A101" s="2" t="s">
        <v>32</v>
      </c>
      <c r="B101" s="12">
        <f t="shared" ref="B101:C101" si="37">stdev(B94:B99)</f>
        <v>3.029195713</v>
      </c>
      <c r="C101" s="12">
        <f t="shared" si="37"/>
        <v>0.4165605242</v>
      </c>
      <c r="J101" s="27"/>
    </row>
    <row r="103">
      <c r="A103" s="2" t="s">
        <v>129</v>
      </c>
      <c r="B103" s="2">
        <v>27.06</v>
      </c>
      <c r="D103" s="2">
        <v>0.0255583</v>
      </c>
      <c r="E103" s="2" t="s">
        <v>10</v>
      </c>
    </row>
    <row r="104">
      <c r="A104" s="2" t="s">
        <v>130</v>
      </c>
      <c r="B104" s="2">
        <v>19.97</v>
      </c>
      <c r="D104" s="2">
        <v>0.0127145</v>
      </c>
      <c r="E104" s="2" t="s">
        <v>10</v>
      </c>
    </row>
    <row r="105">
      <c r="A105" s="2" t="s">
        <v>131</v>
      </c>
      <c r="B105" s="2">
        <v>25.88</v>
      </c>
      <c r="D105" s="2">
        <v>0.0409109</v>
      </c>
      <c r="E105" s="2" t="s">
        <v>10</v>
      </c>
    </row>
    <row r="106">
      <c r="A106" s="2" t="s">
        <v>132</v>
      </c>
      <c r="B106" s="2">
        <v>26.19</v>
      </c>
      <c r="D106" s="2">
        <v>0.0231237</v>
      </c>
      <c r="E106" s="2" t="s">
        <v>10</v>
      </c>
    </row>
    <row r="107">
      <c r="A107" s="2" t="s">
        <v>133</v>
      </c>
      <c r="B107" s="2">
        <v>26.13</v>
      </c>
      <c r="D107" s="2">
        <v>0.021937</v>
      </c>
      <c r="E107" s="2" t="s">
        <v>10</v>
      </c>
    </row>
    <row r="108">
      <c r="A108" s="2" t="s">
        <v>134</v>
      </c>
      <c r="B108" s="2">
        <v>30.84</v>
      </c>
      <c r="D108" s="2">
        <v>0.0197063</v>
      </c>
      <c r="E108" s="2" t="s">
        <v>10</v>
      </c>
    </row>
    <row r="109">
      <c r="A109" s="2" t="s">
        <v>29</v>
      </c>
      <c r="B109" s="12">
        <f>average(B103:B108)</f>
        <v>26.01166667</v>
      </c>
    </row>
    <row r="110">
      <c r="A110" s="2" t="s">
        <v>32</v>
      </c>
      <c r="B110" s="12">
        <f>STDEV(B103:B108)</f>
        <v>3.492182221</v>
      </c>
    </row>
    <row r="112">
      <c r="A112" s="2" t="s">
        <v>135</v>
      </c>
      <c r="B112" s="2">
        <v>3.57</v>
      </c>
      <c r="C112" s="15">
        <f t="shared" ref="C112:C117" si="38">3*(9.81*B112)*(0.16)/(2*0.015*POWER(0.003,2)*POW(10,6))</f>
        <v>62.2608</v>
      </c>
    </row>
    <row r="113">
      <c r="A113" s="2" t="s">
        <v>136</v>
      </c>
      <c r="B113" s="2">
        <v>4.22</v>
      </c>
      <c r="C113" s="15">
        <f t="shared" si="38"/>
        <v>73.5968</v>
      </c>
    </row>
    <row r="114">
      <c r="A114" s="2" t="s">
        <v>137</v>
      </c>
      <c r="B114" s="2">
        <v>4.87</v>
      </c>
      <c r="C114" s="15">
        <f t="shared" si="38"/>
        <v>84.9328</v>
      </c>
    </row>
    <row r="115">
      <c r="A115" s="2" t="s">
        <v>138</v>
      </c>
      <c r="B115" s="2">
        <v>3.83</v>
      </c>
      <c r="C115" s="15">
        <f t="shared" si="38"/>
        <v>66.7952</v>
      </c>
    </row>
    <row r="116">
      <c r="A116" s="2" t="s">
        <v>139</v>
      </c>
      <c r="B116" s="2">
        <v>4.57</v>
      </c>
      <c r="C116" s="15">
        <f t="shared" si="38"/>
        <v>79.7008</v>
      </c>
    </row>
    <row r="117">
      <c r="A117" s="2" t="s">
        <v>140</v>
      </c>
      <c r="B117" s="2">
        <v>4.35</v>
      </c>
      <c r="C117" s="15">
        <f t="shared" si="38"/>
        <v>75.864</v>
      </c>
    </row>
    <row r="118">
      <c r="A118" s="2" t="s">
        <v>29</v>
      </c>
      <c r="B118" s="2">
        <f t="shared" ref="B118:C118" si="39">AVERAGE(B112:B117)</f>
        <v>4.235</v>
      </c>
      <c r="C118" s="2">
        <f t="shared" si="39"/>
        <v>73.8584</v>
      </c>
      <c r="I118" s="26"/>
      <c r="J118" s="2" t="s">
        <v>8</v>
      </c>
    </row>
    <row r="119">
      <c r="A119" s="2" t="s">
        <v>32</v>
      </c>
      <c r="B119" s="2">
        <f t="shared" ref="B119:C119" si="40">STDEV(B112:B117)</f>
        <v>0.4764766521</v>
      </c>
      <c r="C119" s="2">
        <f t="shared" si="40"/>
        <v>8.309752813</v>
      </c>
      <c r="I119" s="27"/>
      <c r="J119" s="27">
        <f>B118/$F$12</f>
        <v>0.1201827573</v>
      </c>
    </row>
    <row r="120">
      <c r="J120" s="27"/>
    </row>
    <row r="121">
      <c r="J121" s="27"/>
    </row>
    <row r="122">
      <c r="A122" s="2" t="s">
        <v>141</v>
      </c>
      <c r="B122" s="2">
        <v>36.98</v>
      </c>
      <c r="C122" s="15">
        <f t="shared" ref="C122:C127" si="41">3*(9.81*B122)*(0.16)/(2*0.015*POWER(0.01,2)*POW(10,6))</f>
        <v>58.043808</v>
      </c>
      <c r="D122" s="2">
        <v>0.0061344</v>
      </c>
      <c r="E122" s="2" t="s">
        <v>10</v>
      </c>
      <c r="J122" s="27"/>
    </row>
    <row r="123">
      <c r="A123" s="2" t="s">
        <v>142</v>
      </c>
      <c r="B123" s="2">
        <v>40.57</v>
      </c>
      <c r="C123" s="15">
        <f t="shared" si="41"/>
        <v>63.678672</v>
      </c>
      <c r="D123" s="2">
        <v>0.0117399</v>
      </c>
      <c r="E123" s="2" t="s">
        <v>10</v>
      </c>
      <c r="J123" s="27"/>
    </row>
    <row r="124">
      <c r="A124" s="2" t="s">
        <v>143</v>
      </c>
      <c r="B124" s="2">
        <v>40.16</v>
      </c>
      <c r="C124" s="15">
        <f t="shared" si="41"/>
        <v>63.035136</v>
      </c>
      <c r="D124" s="2">
        <v>0.039769</v>
      </c>
      <c r="E124" s="2" t="s">
        <v>10</v>
      </c>
      <c r="J124" s="27"/>
    </row>
    <row r="125">
      <c r="A125" s="2" t="s">
        <v>144</v>
      </c>
      <c r="B125" s="2">
        <v>41.28</v>
      </c>
      <c r="C125" s="15">
        <f t="shared" si="41"/>
        <v>64.793088</v>
      </c>
      <c r="D125" s="2">
        <v>0.0574309</v>
      </c>
      <c r="E125" s="2" t="s">
        <v>10</v>
      </c>
      <c r="J125" s="27"/>
    </row>
    <row r="126">
      <c r="A126" s="2" t="s">
        <v>145</v>
      </c>
      <c r="B126" s="2">
        <v>40.29</v>
      </c>
      <c r="C126" s="15">
        <f t="shared" si="41"/>
        <v>63.239184</v>
      </c>
      <c r="D126" s="2">
        <v>-9.004E-4</v>
      </c>
      <c r="E126" s="2" t="s">
        <v>146</v>
      </c>
      <c r="J126" s="27"/>
    </row>
    <row r="127">
      <c r="A127" s="2" t="s">
        <v>147</v>
      </c>
      <c r="B127" s="2">
        <v>39.28</v>
      </c>
      <c r="C127" s="15">
        <f t="shared" si="41"/>
        <v>61.653888</v>
      </c>
      <c r="D127" s="2">
        <v>5.45E-5</v>
      </c>
      <c r="E127" s="2" t="s">
        <v>146</v>
      </c>
      <c r="J127" s="27"/>
    </row>
    <row r="128">
      <c r="A128" s="2" t="s">
        <v>29</v>
      </c>
      <c r="B128" s="12">
        <f>AVERAGE(B122:B127)</f>
        <v>39.76</v>
      </c>
      <c r="J128" s="27"/>
    </row>
    <row r="129">
      <c r="A129" s="2" t="s">
        <v>32</v>
      </c>
      <c r="B129" s="12">
        <f>stdev(B122:B127)</f>
        <v>1.507726766</v>
      </c>
      <c r="J129" s="27"/>
    </row>
    <row r="130">
      <c r="J130" s="27"/>
    </row>
    <row r="131">
      <c r="A131" s="2" t="s">
        <v>148</v>
      </c>
      <c r="B131" s="2">
        <v>20.96</v>
      </c>
      <c r="D131" s="2" t="s">
        <v>149</v>
      </c>
      <c r="J131" s="27"/>
    </row>
    <row r="132">
      <c r="A132" s="2" t="s">
        <v>150</v>
      </c>
      <c r="B132" s="2">
        <v>22.69</v>
      </c>
      <c r="D132" s="2">
        <v>0.01307</v>
      </c>
      <c r="J132" s="27"/>
    </row>
    <row r="133">
      <c r="A133" s="2" t="s">
        <v>151</v>
      </c>
      <c r="B133" s="2">
        <v>21.58</v>
      </c>
      <c r="D133" s="2">
        <v>0.02441</v>
      </c>
      <c r="J133" s="27"/>
    </row>
    <row r="134">
      <c r="A134" s="2" t="s">
        <v>152</v>
      </c>
      <c r="B134" s="2">
        <v>20.53</v>
      </c>
      <c r="D134" s="2">
        <v>0.01159</v>
      </c>
      <c r="J134" s="27"/>
    </row>
    <row r="135">
      <c r="A135" s="2" t="s">
        <v>153</v>
      </c>
      <c r="B135" s="2">
        <v>24.09</v>
      </c>
      <c r="D135" s="2">
        <v>0.01933</v>
      </c>
      <c r="E135" s="2" t="s">
        <v>10</v>
      </c>
      <c r="J135" s="27"/>
    </row>
    <row r="136">
      <c r="A136" s="2" t="s">
        <v>154</v>
      </c>
      <c r="B136" s="2">
        <v>20.76</v>
      </c>
      <c r="D136" s="2" t="s">
        <v>149</v>
      </c>
      <c r="J136" s="27"/>
    </row>
    <row r="137">
      <c r="A137" s="2" t="s">
        <v>29</v>
      </c>
      <c r="B137" s="12">
        <f>average(B131:B136)</f>
        <v>21.76833333</v>
      </c>
      <c r="J137" s="27"/>
    </row>
    <row r="138">
      <c r="A138" s="2" t="s">
        <v>32</v>
      </c>
      <c r="B138" s="12">
        <f>stdev(B131:B136)</f>
        <v>1.376857533</v>
      </c>
      <c r="J138" s="27"/>
    </row>
    <row r="139">
      <c r="J139" s="27"/>
    </row>
    <row r="140">
      <c r="A140" s="2" t="s">
        <v>155</v>
      </c>
      <c r="B140" s="2">
        <v>34.82</v>
      </c>
      <c r="C140" s="15">
        <f t="shared" ref="C140:C145" si="42">3*(9.81*B140)*(0.16)/(2*0.015*POWER(0.01,2)*POW(10,6))</f>
        <v>54.653472</v>
      </c>
      <c r="D140" s="2">
        <v>0.0286</v>
      </c>
      <c r="E140" s="2" t="s">
        <v>10</v>
      </c>
      <c r="J140" s="27"/>
    </row>
    <row r="141">
      <c r="A141" s="2" t="s">
        <v>156</v>
      </c>
      <c r="B141" s="2">
        <v>39.71</v>
      </c>
      <c r="C141" s="15">
        <f t="shared" si="42"/>
        <v>62.328816</v>
      </c>
      <c r="D141" s="2">
        <v>0.0563529</v>
      </c>
      <c r="E141" s="2" t="s">
        <v>10</v>
      </c>
      <c r="J141" s="27"/>
    </row>
    <row r="142">
      <c r="A142" s="7" t="s">
        <v>157</v>
      </c>
      <c r="C142" s="15">
        <f t="shared" si="42"/>
        <v>0</v>
      </c>
      <c r="D142" s="2">
        <v>0.0118574</v>
      </c>
      <c r="E142" s="2" t="s">
        <v>158</v>
      </c>
      <c r="F142" s="34" t="s">
        <v>159</v>
      </c>
      <c r="G142" s="35"/>
      <c r="J142" s="27"/>
    </row>
    <row r="143">
      <c r="A143" s="2" t="s">
        <v>160</v>
      </c>
      <c r="B143" s="2">
        <v>38.95</v>
      </c>
      <c r="C143" s="15">
        <f t="shared" si="42"/>
        <v>61.13592</v>
      </c>
      <c r="D143" s="2">
        <v>0.0286289</v>
      </c>
      <c r="J143" s="27"/>
    </row>
    <row r="144">
      <c r="A144" s="2" t="s">
        <v>161</v>
      </c>
      <c r="B144" s="2">
        <v>39.09</v>
      </c>
      <c r="C144" s="15">
        <f t="shared" si="42"/>
        <v>61.355664</v>
      </c>
      <c r="D144" s="2" t="s">
        <v>162</v>
      </c>
      <c r="E144" s="2" t="s">
        <v>10</v>
      </c>
      <c r="J144" s="27"/>
    </row>
    <row r="145">
      <c r="A145" s="2" t="s">
        <v>163</v>
      </c>
      <c r="B145" s="2">
        <v>38.57</v>
      </c>
      <c r="C145" s="15">
        <f t="shared" si="42"/>
        <v>60.539472</v>
      </c>
      <c r="D145" s="2">
        <v>0.0120551</v>
      </c>
      <c r="E145" s="2" t="s">
        <v>10</v>
      </c>
      <c r="J145" s="27"/>
    </row>
    <row r="146">
      <c r="A146" s="2" t="s">
        <v>29</v>
      </c>
      <c r="B146" s="12">
        <f t="shared" ref="B146:C146" si="43">average(B140:B145)</f>
        <v>38.228</v>
      </c>
      <c r="C146" s="12">
        <f t="shared" si="43"/>
        <v>50.002224</v>
      </c>
      <c r="J146" s="27"/>
    </row>
    <row r="147">
      <c r="A147" s="2" t="s">
        <v>32</v>
      </c>
      <c r="B147" s="12">
        <f t="shared" ref="B147:C147" si="44">STDEV(B140:B145)</f>
        <v>1.948850944</v>
      </c>
      <c r="C147" s="12">
        <f t="shared" si="44"/>
        <v>24.64830528</v>
      </c>
      <c r="J147" s="27"/>
    </row>
    <row r="148">
      <c r="J148" s="27">
        <f>B119/$F$12</f>
        <v>0.01352167127</v>
      </c>
    </row>
    <row r="149">
      <c r="A149" s="2" t="s">
        <v>164</v>
      </c>
      <c r="B149" s="2">
        <v>35.66</v>
      </c>
      <c r="C149" s="15">
        <f t="shared" ref="C149:C154" si="45">3*(9.81*B149)*(0.16)/(2*0.015*POWER(0.01,2)*POW(10,6))</f>
        <v>55.971936</v>
      </c>
      <c r="D149" s="2" t="s">
        <v>165</v>
      </c>
      <c r="E149" s="2" t="s">
        <v>10</v>
      </c>
      <c r="J149" s="27"/>
    </row>
    <row r="150">
      <c r="A150" s="2" t="s">
        <v>166</v>
      </c>
      <c r="B150" s="2">
        <v>38.68</v>
      </c>
      <c r="C150" s="15">
        <f t="shared" si="45"/>
        <v>60.712128</v>
      </c>
      <c r="D150" s="2">
        <v>0.0412552</v>
      </c>
      <c r="E150" s="2" t="s">
        <v>10</v>
      </c>
      <c r="J150" s="27"/>
    </row>
    <row r="151">
      <c r="A151" s="2" t="s">
        <v>167</v>
      </c>
      <c r="B151" s="2">
        <v>36.75</v>
      </c>
      <c r="C151" s="15">
        <f t="shared" si="45"/>
        <v>57.6828</v>
      </c>
      <c r="D151" s="2" t="s">
        <v>168</v>
      </c>
      <c r="E151" s="2" t="s">
        <v>10</v>
      </c>
      <c r="J151" s="27"/>
    </row>
    <row r="152">
      <c r="A152" s="2" t="s">
        <v>169</v>
      </c>
      <c r="B152" s="2">
        <v>36.55</v>
      </c>
      <c r="C152" s="15">
        <f t="shared" si="45"/>
        <v>57.36888</v>
      </c>
      <c r="D152" s="2" t="s">
        <v>170</v>
      </c>
      <c r="E152" s="2" t="s">
        <v>10</v>
      </c>
      <c r="J152" s="27"/>
    </row>
    <row r="153">
      <c r="A153" s="2" t="s">
        <v>171</v>
      </c>
      <c r="B153" s="2">
        <v>38.66</v>
      </c>
      <c r="C153" s="15">
        <f t="shared" si="45"/>
        <v>60.680736</v>
      </c>
      <c r="D153" s="2">
        <v>0.0100742</v>
      </c>
      <c r="E153" s="2" t="s">
        <v>10</v>
      </c>
    </row>
    <row r="154">
      <c r="A154" s="2" t="s">
        <v>172</v>
      </c>
      <c r="B154" s="2">
        <v>36.01</v>
      </c>
      <c r="C154" s="15">
        <f t="shared" si="45"/>
        <v>56.521296</v>
      </c>
      <c r="D154" s="2">
        <v>0.0108557</v>
      </c>
      <c r="E154" s="2" t="s">
        <v>10</v>
      </c>
    </row>
    <row r="155">
      <c r="A155" s="2" t="s">
        <v>79</v>
      </c>
      <c r="B155" s="12">
        <f t="shared" ref="B155:C155" si="46">AVERAGE(B149:B154)</f>
        <v>37.05166667</v>
      </c>
      <c r="C155" s="12">
        <f t="shared" si="46"/>
        <v>58.156296</v>
      </c>
    </row>
    <row r="156">
      <c r="A156" s="2" t="s">
        <v>173</v>
      </c>
      <c r="B156" s="12">
        <f t="shared" ref="B156:C156" si="47">STDEV(B149:B154)</f>
        <v>1.311692291</v>
      </c>
      <c r="C156" s="12">
        <f t="shared" si="47"/>
        <v>2.05883222</v>
      </c>
    </row>
    <row r="158">
      <c r="A158" s="7" t="s">
        <v>72</v>
      </c>
      <c r="B158" s="2" t="s">
        <v>174</v>
      </c>
    </row>
    <row r="159">
      <c r="A159" s="2" t="s">
        <v>175</v>
      </c>
      <c r="B159" s="2">
        <v>42.02</v>
      </c>
      <c r="C159" s="15">
        <f t="shared" ref="C159:C164" si="48">3*(9.81*B159)*(0.16)/(2*0.015*POWER(0.01,2)*POW(10,6))</f>
        <v>65.954592</v>
      </c>
      <c r="D159" s="2">
        <v>0.0068632</v>
      </c>
    </row>
    <row r="160">
      <c r="A160" s="2" t="s">
        <v>176</v>
      </c>
      <c r="B160" s="2">
        <v>40.98</v>
      </c>
      <c r="C160" s="15">
        <f t="shared" si="48"/>
        <v>64.322208</v>
      </c>
      <c r="D160" s="2">
        <v>7.921E-4</v>
      </c>
    </row>
    <row r="161">
      <c r="A161" s="2" t="s">
        <v>177</v>
      </c>
      <c r="B161" s="2">
        <v>40.81</v>
      </c>
      <c r="C161" s="15">
        <f t="shared" si="48"/>
        <v>64.055376</v>
      </c>
      <c r="D161" s="2">
        <v>0.0392246</v>
      </c>
      <c r="E161" s="2" t="s">
        <v>10</v>
      </c>
    </row>
    <row r="162">
      <c r="A162" s="2" t="s">
        <v>178</v>
      </c>
      <c r="B162" s="2">
        <v>40.15</v>
      </c>
      <c r="C162" s="15">
        <f t="shared" si="48"/>
        <v>63.01944</v>
      </c>
      <c r="D162" s="2">
        <v>0.0251447</v>
      </c>
      <c r="E162" s="2" t="s">
        <v>10</v>
      </c>
    </row>
    <row r="163">
      <c r="A163" s="2" t="s">
        <v>179</v>
      </c>
      <c r="B163" s="2">
        <v>40.39</v>
      </c>
      <c r="C163" s="15">
        <f t="shared" si="48"/>
        <v>63.396144</v>
      </c>
      <c r="D163" s="2">
        <v>0.0596952</v>
      </c>
      <c r="E163" s="2" t="s">
        <v>10</v>
      </c>
    </row>
    <row r="164">
      <c r="A164" s="2" t="s">
        <v>180</v>
      </c>
      <c r="B164" s="2">
        <v>40.28</v>
      </c>
      <c r="C164" s="15">
        <f t="shared" si="48"/>
        <v>63.223488</v>
      </c>
      <c r="D164" s="2">
        <v>1.925E-4</v>
      </c>
      <c r="E164" s="2" t="s">
        <v>181</v>
      </c>
    </row>
    <row r="165">
      <c r="A165" s="2" t="s">
        <v>29</v>
      </c>
      <c r="B165" s="12">
        <f t="shared" ref="B165:C165" si="49">AVERAGE(B159:B164)</f>
        <v>40.77166667</v>
      </c>
      <c r="C165" s="12">
        <f t="shared" si="49"/>
        <v>63.995208</v>
      </c>
    </row>
    <row r="166">
      <c r="A166" s="2" t="s">
        <v>32</v>
      </c>
      <c r="B166" s="12">
        <f>STDEV(B159:B164)</f>
        <v>0.6895046531</v>
      </c>
      <c r="C166" s="15">
        <f>3*(9.81*B166)*(0.16)/(2*0.015*POWER(0.01,2)*POW(10,6))</f>
        <v>1.082246504</v>
      </c>
    </row>
    <row r="169">
      <c r="A169" s="2" t="s">
        <v>182</v>
      </c>
      <c r="B169" s="2">
        <v>25.56</v>
      </c>
      <c r="C169" s="13">
        <f t="shared" ref="C169:C174" si="50">3*(9.81*B169)*(0.16)/(2*0.015*POWER(0.01,2)*POW(10,6))</f>
        <v>40.118976</v>
      </c>
      <c r="D169" s="2">
        <v>0.0039</v>
      </c>
      <c r="E169" s="2" t="s">
        <v>10</v>
      </c>
    </row>
    <row r="170">
      <c r="A170" s="2" t="s">
        <v>183</v>
      </c>
      <c r="B170" s="2">
        <v>22.02</v>
      </c>
      <c r="C170" s="13">
        <f t="shared" si="50"/>
        <v>34.562592</v>
      </c>
      <c r="D170" s="2">
        <v>0.047</v>
      </c>
      <c r="E170" s="2" t="s">
        <v>10</v>
      </c>
    </row>
    <row r="171">
      <c r="A171" s="2" t="s">
        <v>184</v>
      </c>
      <c r="B171" s="2">
        <v>22.67</v>
      </c>
      <c r="C171" s="13">
        <f t="shared" si="50"/>
        <v>35.582832</v>
      </c>
      <c r="D171" s="2">
        <v>0.04345</v>
      </c>
      <c r="E171" s="2" t="s">
        <v>10</v>
      </c>
    </row>
    <row r="172">
      <c r="A172" s="2" t="s">
        <v>185</v>
      </c>
      <c r="B172" s="2">
        <v>23.05</v>
      </c>
      <c r="C172" s="13">
        <f t="shared" si="50"/>
        <v>36.17928</v>
      </c>
      <c r="D172" s="2">
        <v>0.0196</v>
      </c>
      <c r="E172" s="2" t="s">
        <v>10</v>
      </c>
    </row>
    <row r="173">
      <c r="A173" s="2" t="s">
        <v>186</v>
      </c>
      <c r="B173" s="2">
        <v>28.87</v>
      </c>
      <c r="C173" s="13">
        <f t="shared" si="50"/>
        <v>45.314352</v>
      </c>
      <c r="D173" s="2">
        <v>0.02275</v>
      </c>
      <c r="E173" s="2" t="s">
        <v>10</v>
      </c>
    </row>
    <row r="174">
      <c r="A174" s="2" t="s">
        <v>187</v>
      </c>
      <c r="B174" s="2">
        <v>27.15</v>
      </c>
      <c r="C174" s="13">
        <f t="shared" si="50"/>
        <v>42.61464</v>
      </c>
      <c r="D174" s="2">
        <v>0.02126</v>
      </c>
      <c r="E174" s="2" t="s">
        <v>10</v>
      </c>
    </row>
    <row r="175">
      <c r="A175" s="2" t="s">
        <v>29</v>
      </c>
      <c r="B175" s="15">
        <f t="shared" ref="B175:C175" si="51">AVERAGE(B169:B174)</f>
        <v>24.88666667</v>
      </c>
      <c r="C175" s="15">
        <f t="shared" si="51"/>
        <v>39.062112</v>
      </c>
      <c r="J175" s="2" t="s">
        <v>8</v>
      </c>
    </row>
    <row r="176">
      <c r="A176" s="2" t="s">
        <v>32</v>
      </c>
      <c r="B176" s="15">
        <f t="shared" ref="B176:C176" si="52">STDEV(B169:B174)</f>
        <v>2.754913187</v>
      </c>
      <c r="C176" s="15">
        <f t="shared" si="52"/>
        <v>4.324111738</v>
      </c>
      <c r="J176" s="27">
        <f t="shared" ref="J176:J177" si="53">B175/$F$12</f>
        <v>0.706245152</v>
      </c>
    </row>
    <row r="177">
      <c r="J177" s="27">
        <f t="shared" si="53"/>
        <v>0.07818018011</v>
      </c>
    </row>
    <row r="178">
      <c r="A178" s="2" t="s">
        <v>188</v>
      </c>
      <c r="B178" s="2">
        <v>30.79</v>
      </c>
      <c r="C178" s="15">
        <f t="shared" ref="C178:C183" si="54">3*(9.81*B178)*(0.16)/(2*0.015*POWER(0.01,2)*POW(10,6))</f>
        <v>48.327984</v>
      </c>
      <c r="D178" s="2">
        <v>0.01595</v>
      </c>
      <c r="E178" s="2" t="s">
        <v>10</v>
      </c>
      <c r="J178" s="27"/>
    </row>
    <row r="179">
      <c r="A179" s="2" t="s">
        <v>189</v>
      </c>
      <c r="B179" s="2">
        <v>27.44</v>
      </c>
      <c r="C179" s="15">
        <f t="shared" si="54"/>
        <v>43.069824</v>
      </c>
      <c r="D179" s="2">
        <v>0.03611</v>
      </c>
      <c r="E179" s="2" t="s">
        <v>10</v>
      </c>
      <c r="J179" s="27"/>
    </row>
    <row r="180">
      <c r="A180" s="2" t="s">
        <v>190</v>
      </c>
      <c r="B180" s="2">
        <v>31.72</v>
      </c>
      <c r="C180" s="15">
        <f t="shared" si="54"/>
        <v>49.787712</v>
      </c>
      <c r="D180" s="2" t="s">
        <v>36</v>
      </c>
      <c r="J180" s="27"/>
    </row>
    <row r="181">
      <c r="A181" s="2" t="s">
        <v>191</v>
      </c>
      <c r="B181" s="2">
        <v>30.97</v>
      </c>
      <c r="C181" s="15">
        <f t="shared" si="54"/>
        <v>48.610512</v>
      </c>
      <c r="D181" s="2">
        <v>0.01806</v>
      </c>
      <c r="E181" s="2" t="s">
        <v>10</v>
      </c>
      <c r="J181" s="27"/>
    </row>
    <row r="182">
      <c r="A182" s="2" t="s">
        <v>192</v>
      </c>
      <c r="B182" s="2">
        <v>30.83</v>
      </c>
      <c r="C182" s="15">
        <f t="shared" si="54"/>
        <v>48.390768</v>
      </c>
      <c r="D182" s="2">
        <v>0.01835</v>
      </c>
      <c r="E182" s="2" t="s">
        <v>10</v>
      </c>
      <c r="J182" s="27"/>
    </row>
    <row r="183">
      <c r="A183" s="2" t="s">
        <v>193</v>
      </c>
      <c r="B183" s="2">
        <v>32.65</v>
      </c>
      <c r="C183" s="15">
        <f t="shared" si="54"/>
        <v>51.24744</v>
      </c>
      <c r="D183" s="2">
        <v>0.02464</v>
      </c>
      <c r="E183" s="2" t="s">
        <v>10</v>
      </c>
      <c r="J183" s="13" t="s">
        <v>8</v>
      </c>
    </row>
    <row r="184">
      <c r="A184" s="2" t="s">
        <v>29</v>
      </c>
      <c r="B184" s="12">
        <f t="shared" ref="B184:C184" si="55">average(B178:B183)</f>
        <v>30.73333333</v>
      </c>
      <c r="C184" s="12">
        <f t="shared" si="55"/>
        <v>48.23904</v>
      </c>
      <c r="J184" s="27">
        <f>B184/$F$12</f>
        <v>0.8721645194</v>
      </c>
    </row>
    <row r="185">
      <c r="A185" s="2" t="s">
        <v>32</v>
      </c>
      <c r="B185" s="12">
        <f t="shared" ref="B185:C185" si="56">STDEV(B178:B183)</f>
        <v>1.76418442</v>
      </c>
      <c r="C185" s="12">
        <f t="shared" si="56"/>
        <v>2.769063865</v>
      </c>
      <c r="J185" s="27"/>
    </row>
    <row r="186">
      <c r="A186" s="2"/>
      <c r="J186" s="27"/>
    </row>
    <row r="187">
      <c r="A187" s="2" t="s">
        <v>194</v>
      </c>
      <c r="J187" s="27"/>
    </row>
    <row r="188">
      <c r="A188" s="2" t="s">
        <v>195</v>
      </c>
      <c r="B188" s="2">
        <v>27.07</v>
      </c>
      <c r="C188" s="36">
        <f t="shared" ref="C188:C193" si="57">3*(9.81*B188)*(0.16)/(2*0.015*POWER(0.01,2)*POW(10,6))</f>
        <v>42.489072</v>
      </c>
      <c r="J188" s="27"/>
    </row>
    <row r="189">
      <c r="A189" s="2" t="s">
        <v>196</v>
      </c>
      <c r="B189" s="2">
        <v>30.7</v>
      </c>
      <c r="C189" s="36">
        <f t="shared" si="57"/>
        <v>48.18672</v>
      </c>
      <c r="J189" s="27"/>
    </row>
    <row r="190">
      <c r="A190" s="2" t="s">
        <v>197</v>
      </c>
      <c r="B190" s="2">
        <v>33.44</v>
      </c>
      <c r="C190" s="36">
        <f t="shared" si="57"/>
        <v>52.487424</v>
      </c>
      <c r="J190" s="27"/>
    </row>
    <row r="191">
      <c r="A191" s="2" t="s">
        <v>198</v>
      </c>
      <c r="B191" s="2">
        <v>23.12</v>
      </c>
      <c r="C191" s="36">
        <f t="shared" si="57"/>
        <v>36.289152</v>
      </c>
      <c r="J191" s="27"/>
    </row>
    <row r="192">
      <c r="A192" s="2" t="s">
        <v>199</v>
      </c>
      <c r="B192" s="2">
        <v>29.78</v>
      </c>
      <c r="C192" s="36">
        <f t="shared" si="57"/>
        <v>46.742688</v>
      </c>
      <c r="D192" s="2">
        <v>0.04544</v>
      </c>
      <c r="E192" s="2" t="s">
        <v>10</v>
      </c>
      <c r="J192" s="27"/>
    </row>
    <row r="193">
      <c r="A193" s="2" t="s">
        <v>200</v>
      </c>
      <c r="B193" s="2">
        <v>27.28</v>
      </c>
      <c r="C193" s="36">
        <f t="shared" si="57"/>
        <v>42.818688</v>
      </c>
      <c r="J193" s="13" t="s">
        <v>8</v>
      </c>
    </row>
    <row r="194">
      <c r="A194" s="2" t="s">
        <v>29</v>
      </c>
      <c r="B194" s="12">
        <f t="shared" ref="B194:C194" si="58">average(B188:B193)</f>
        <v>28.565</v>
      </c>
      <c r="C194" s="12">
        <f t="shared" si="58"/>
        <v>44.835624</v>
      </c>
      <c r="J194" s="27">
        <f>B194/$F$12</f>
        <v>0.8106305693</v>
      </c>
    </row>
    <row r="195">
      <c r="A195" s="2" t="s">
        <v>32</v>
      </c>
      <c r="B195" s="12">
        <f t="shared" ref="B195:C195" si="59">STDEV(B188:B193)</f>
        <v>3.55905465</v>
      </c>
      <c r="C195" s="12">
        <f t="shared" si="59"/>
        <v>5.586292178</v>
      </c>
      <c r="J195" s="27"/>
    </row>
    <row r="196">
      <c r="A196" s="2"/>
    </row>
    <row r="197">
      <c r="A197" s="2" t="s">
        <v>201</v>
      </c>
      <c r="B197" s="2">
        <v>41.71</v>
      </c>
      <c r="D197" s="2">
        <v>0.024718</v>
      </c>
      <c r="E197" s="2" t="s">
        <v>10</v>
      </c>
    </row>
    <row r="198">
      <c r="A198" s="2" t="s">
        <v>202</v>
      </c>
      <c r="B198" s="2">
        <v>42.07</v>
      </c>
      <c r="D198" s="2">
        <v>0.024902</v>
      </c>
      <c r="E198" s="2" t="s">
        <v>10</v>
      </c>
    </row>
    <row r="199">
      <c r="A199" s="2" t="s">
        <v>203</v>
      </c>
      <c r="B199" s="2">
        <v>43.77</v>
      </c>
      <c r="D199" s="2">
        <v>0.0353329</v>
      </c>
      <c r="E199" s="2" t="s">
        <v>10</v>
      </c>
    </row>
    <row r="200">
      <c r="A200" s="2" t="s">
        <v>204</v>
      </c>
      <c r="B200" s="2">
        <v>39.62</v>
      </c>
      <c r="E200" s="2" t="s">
        <v>146</v>
      </c>
    </row>
    <row r="201">
      <c r="A201" s="2" t="s">
        <v>205</v>
      </c>
      <c r="B201" s="2">
        <v>40.79</v>
      </c>
      <c r="D201" s="2">
        <v>0.0206004</v>
      </c>
      <c r="E201" s="2" t="s">
        <v>10</v>
      </c>
    </row>
    <row r="202">
      <c r="A202" s="2" t="s">
        <v>206</v>
      </c>
      <c r="B202" s="2">
        <v>36.57</v>
      </c>
      <c r="E202" s="2" t="s">
        <v>146</v>
      </c>
    </row>
    <row r="203">
      <c r="A203" s="2" t="s">
        <v>29</v>
      </c>
      <c r="B203" s="12">
        <f>average(B197:B202)</f>
        <v>40.755</v>
      </c>
    </row>
    <row r="204">
      <c r="A204" s="2" t="s">
        <v>32</v>
      </c>
      <c r="B204" s="12">
        <f>stdev(B197:B202)</f>
        <v>2.471240579</v>
      </c>
    </row>
    <row r="205">
      <c r="A205" s="2"/>
    </row>
    <row r="206">
      <c r="A206" s="2"/>
    </row>
    <row r="207">
      <c r="A207" s="2"/>
    </row>
    <row r="208">
      <c r="A208" s="2" t="s">
        <v>207</v>
      </c>
    </row>
    <row r="209">
      <c r="A209" s="2" t="s">
        <v>208</v>
      </c>
      <c r="B209" s="2">
        <v>27.49</v>
      </c>
      <c r="C209" s="15">
        <f t="shared" ref="C209:C214" si="60">3*(9.81*B209)*(0.16)/(2*0.015*POWER(0.01,2)*POW(10,6))</f>
        <v>43.148304</v>
      </c>
      <c r="D209" s="2">
        <v>0.00898</v>
      </c>
    </row>
    <row r="210">
      <c r="A210" s="2" t="s">
        <v>209</v>
      </c>
      <c r="B210" s="2">
        <v>25.57</v>
      </c>
      <c r="C210" s="15">
        <f t="shared" si="60"/>
        <v>40.134672</v>
      </c>
      <c r="D210" s="2">
        <v>0.03819</v>
      </c>
      <c r="E210" s="2" t="s">
        <v>10</v>
      </c>
    </row>
    <row r="211">
      <c r="A211" s="2" t="s">
        <v>210</v>
      </c>
      <c r="B211" s="2">
        <v>29.29</v>
      </c>
      <c r="C211" s="15">
        <f t="shared" si="60"/>
        <v>45.973584</v>
      </c>
      <c r="D211" s="2" t="s">
        <v>211</v>
      </c>
    </row>
    <row r="212">
      <c r="A212" s="2" t="s">
        <v>212</v>
      </c>
      <c r="B212" s="2">
        <v>27.89</v>
      </c>
      <c r="C212" s="15">
        <f t="shared" si="60"/>
        <v>43.776144</v>
      </c>
      <c r="D212" s="2" t="s">
        <v>213</v>
      </c>
      <c r="E212" s="2" t="s">
        <v>10</v>
      </c>
    </row>
    <row r="213">
      <c r="A213" s="2" t="s">
        <v>214</v>
      </c>
      <c r="B213" s="2">
        <v>28.32</v>
      </c>
      <c r="C213" s="15">
        <f t="shared" si="60"/>
        <v>44.451072</v>
      </c>
      <c r="D213" s="2">
        <v>9.7E-4</v>
      </c>
      <c r="E213" s="2" t="s">
        <v>211</v>
      </c>
    </row>
    <row r="214">
      <c r="A214" s="2" t="s">
        <v>215</v>
      </c>
      <c r="B214" s="2">
        <v>23.91</v>
      </c>
      <c r="C214" s="15">
        <f t="shared" si="60"/>
        <v>37.529136</v>
      </c>
      <c r="D214" s="2" t="s">
        <v>216</v>
      </c>
      <c r="E214" s="2" t="s">
        <v>10</v>
      </c>
    </row>
    <row r="215">
      <c r="A215" s="2" t="s">
        <v>29</v>
      </c>
      <c r="B215" s="12">
        <f t="shared" ref="B215:C215" si="61">average(B209:B214)</f>
        <v>27.07833333</v>
      </c>
      <c r="C215" s="12">
        <f t="shared" si="61"/>
        <v>42.502152</v>
      </c>
    </row>
    <row r="216">
      <c r="A216" s="2" t="s">
        <v>32</v>
      </c>
      <c r="B216" s="12">
        <f t="shared" ref="B216:C216" si="62">STDEV(B209:B214)</f>
        <v>1.978629997</v>
      </c>
      <c r="C216" s="12">
        <f t="shared" si="62"/>
        <v>3.105657644</v>
      </c>
    </row>
    <row r="218">
      <c r="A218" s="32" t="s">
        <v>72</v>
      </c>
    </row>
    <row r="219">
      <c r="A219" s="2" t="s">
        <v>217</v>
      </c>
      <c r="B219" s="2">
        <v>41.82</v>
      </c>
      <c r="C219" s="15">
        <f t="shared" ref="C219:C224" si="63">3*(9.81*B219)*(0.16)/(2*0.015*POWER(0.01,2)*POW(10,6))</f>
        <v>65.640672</v>
      </c>
      <c r="D219" s="2">
        <v>0.00224572</v>
      </c>
      <c r="E219" s="2" t="s">
        <v>10</v>
      </c>
    </row>
    <row r="220">
      <c r="A220" s="2" t="s">
        <v>218</v>
      </c>
      <c r="B220" s="2">
        <v>39.65</v>
      </c>
      <c r="C220" s="15">
        <f t="shared" si="63"/>
        <v>62.23464</v>
      </c>
      <c r="D220" s="2">
        <v>0.0090909</v>
      </c>
      <c r="E220" s="2" t="s">
        <v>10</v>
      </c>
    </row>
    <row r="221">
      <c r="A221" s="2" t="s">
        <v>219</v>
      </c>
      <c r="B221" s="2">
        <v>42.47</v>
      </c>
      <c r="C221" s="15">
        <f t="shared" si="63"/>
        <v>66.660912</v>
      </c>
      <c r="D221" s="2">
        <v>0.0084333</v>
      </c>
      <c r="E221" s="2" t="s">
        <v>10</v>
      </c>
    </row>
    <row r="222">
      <c r="A222" s="2" t="s">
        <v>220</v>
      </c>
      <c r="B222" s="2">
        <v>41.01</v>
      </c>
      <c r="C222" s="15">
        <f t="shared" si="63"/>
        <v>64.369296</v>
      </c>
      <c r="D222" s="2">
        <v>0.0169431</v>
      </c>
      <c r="E222" s="2" t="s">
        <v>10</v>
      </c>
    </row>
    <row r="223">
      <c r="A223" s="2" t="s">
        <v>221</v>
      </c>
      <c r="B223" s="2">
        <v>43.68</v>
      </c>
      <c r="C223" s="15">
        <f t="shared" si="63"/>
        <v>68.560128</v>
      </c>
      <c r="D223" s="2">
        <v>4.392E-4</v>
      </c>
      <c r="E223" s="2" t="s">
        <v>222</v>
      </c>
    </row>
    <row r="224">
      <c r="A224" s="2" t="s">
        <v>223</v>
      </c>
      <c r="B224" s="2">
        <v>44.88</v>
      </c>
      <c r="C224" s="15">
        <f t="shared" si="63"/>
        <v>70.443648</v>
      </c>
      <c r="D224" s="2">
        <v>0.0028935</v>
      </c>
      <c r="E224" s="2" t="s">
        <v>10</v>
      </c>
    </row>
    <row r="225">
      <c r="A225" s="2" t="s">
        <v>29</v>
      </c>
      <c r="B225" s="12">
        <f t="shared" ref="B225:C225" si="64">average(B219:B224)</f>
        <v>42.25166667</v>
      </c>
      <c r="C225" s="12">
        <f t="shared" si="64"/>
        <v>66.318216</v>
      </c>
    </row>
    <row r="226">
      <c r="A226" s="2" t="s">
        <v>32</v>
      </c>
      <c r="B226" s="12">
        <f t="shared" ref="B226:C226" si="65">STDEV(B219:B224)</f>
        <v>1.87043756</v>
      </c>
      <c r="C226" s="12">
        <f t="shared" si="65"/>
        <v>2.935838795</v>
      </c>
    </row>
    <row r="230">
      <c r="A230" s="32" t="s">
        <v>72</v>
      </c>
    </row>
    <row r="231">
      <c r="A231" s="2" t="s">
        <v>224</v>
      </c>
      <c r="B231" s="2">
        <v>46.87</v>
      </c>
      <c r="C231" s="36">
        <f t="shared" ref="C231:C232" si="66">3*(9.81*B231)*(0.16)/(2*0.015*POWER(0.01,2)*POW(10,6))</f>
        <v>73.567152</v>
      </c>
      <c r="D231" s="2">
        <v>0.0067171</v>
      </c>
      <c r="E231" s="2" t="s">
        <v>211</v>
      </c>
    </row>
    <row r="232">
      <c r="A232" s="2" t="s">
        <v>225</v>
      </c>
      <c r="B232" s="2">
        <v>47.17</v>
      </c>
      <c r="C232" s="36">
        <f t="shared" si="66"/>
        <v>74.038032</v>
      </c>
      <c r="D232" s="2">
        <v>0.0079304</v>
      </c>
      <c r="E232" s="2" t="s">
        <v>10</v>
      </c>
    </row>
    <row r="233">
      <c r="A233" s="2" t="s">
        <v>226</v>
      </c>
      <c r="B233" s="2">
        <v>48.77</v>
      </c>
      <c r="D233" s="2">
        <v>0.0457627</v>
      </c>
      <c r="E233" s="2" t="s">
        <v>10</v>
      </c>
    </row>
    <row r="234">
      <c r="A234" s="2" t="s">
        <v>227</v>
      </c>
      <c r="B234" s="2">
        <v>47.95</v>
      </c>
      <c r="D234" s="2">
        <v>0.0313708</v>
      </c>
      <c r="E234" s="2" t="s">
        <v>10</v>
      </c>
    </row>
    <row r="235">
      <c r="A235" s="2" t="s">
        <v>228</v>
      </c>
      <c r="B235" s="2">
        <v>47.58</v>
      </c>
      <c r="D235" s="2">
        <v>0.0111795</v>
      </c>
    </row>
    <row r="236">
      <c r="A236" s="2" t="s">
        <v>229</v>
      </c>
      <c r="B236" s="2">
        <v>47.69</v>
      </c>
      <c r="D236" s="2">
        <v>0.0276678</v>
      </c>
      <c r="E236" s="2" t="s">
        <v>10</v>
      </c>
    </row>
    <row r="237">
      <c r="A237" s="2" t="s">
        <v>29</v>
      </c>
      <c r="B237" s="12">
        <f>average(B231:B236)</f>
        <v>47.67166667</v>
      </c>
    </row>
    <row r="238">
      <c r="A238" s="2" t="s">
        <v>32</v>
      </c>
      <c r="B238" s="12">
        <f>stdev(B231:B236)</f>
        <v>0.66134459</v>
      </c>
    </row>
    <row r="241">
      <c r="A241" s="2" t="s">
        <v>72</v>
      </c>
    </row>
    <row r="242">
      <c r="A242" s="2" t="s">
        <v>230</v>
      </c>
      <c r="B242" s="2">
        <v>35.51</v>
      </c>
      <c r="D242" s="2">
        <v>0.01953</v>
      </c>
      <c r="E242" s="2" t="s">
        <v>10</v>
      </c>
    </row>
    <row r="243">
      <c r="A243" s="2" t="s">
        <v>231</v>
      </c>
      <c r="B243" s="2">
        <v>32.94</v>
      </c>
      <c r="D243" s="2">
        <v>0.02302</v>
      </c>
      <c r="E243" s="2" t="s">
        <v>10</v>
      </c>
    </row>
    <row r="244">
      <c r="A244" s="2" t="s">
        <v>232</v>
      </c>
      <c r="B244" s="2">
        <v>33.52</v>
      </c>
      <c r="D244" s="2" t="s">
        <v>233</v>
      </c>
      <c r="E244" s="2" t="s">
        <v>10</v>
      </c>
    </row>
    <row r="245">
      <c r="A245" s="2" t="s">
        <v>234</v>
      </c>
      <c r="B245" s="2">
        <v>33.92</v>
      </c>
      <c r="D245" s="2">
        <v>0.02397</v>
      </c>
      <c r="E245" s="2" t="s">
        <v>10</v>
      </c>
    </row>
    <row r="246">
      <c r="A246" s="2" t="s">
        <v>235</v>
      </c>
      <c r="B246" s="2">
        <v>33.76</v>
      </c>
      <c r="D246" s="2">
        <v>0.01667</v>
      </c>
      <c r="E246" s="2" t="s">
        <v>10</v>
      </c>
    </row>
    <row r="247">
      <c r="A247" s="2" t="s">
        <v>79</v>
      </c>
      <c r="B247" s="15">
        <f>average(B242:B246)</f>
        <v>33.93</v>
      </c>
    </row>
    <row r="248">
      <c r="A248" s="2" t="s">
        <v>173</v>
      </c>
      <c r="B248" s="15">
        <f>STDEV(B242:B246)</f>
        <v>0.9583318841</v>
      </c>
    </row>
    <row r="250">
      <c r="A250" s="34" t="s">
        <v>236</v>
      </c>
      <c r="B250" s="2">
        <v>201.97</v>
      </c>
      <c r="C250" s="15">
        <f t="shared" ref="C250:C252" si="67">3*(9.81*B250)*(0.14)/(2*0.009525*POWER(0.009525,2)*POW(10,6))</f>
        <v>481.4821759</v>
      </c>
    </row>
    <row r="251">
      <c r="B251" s="2">
        <v>218.4</v>
      </c>
      <c r="C251" s="15">
        <f t="shared" si="67"/>
        <v>520.6501323</v>
      </c>
    </row>
    <row r="252">
      <c r="A252" s="2" t="s">
        <v>237</v>
      </c>
      <c r="B252" s="2">
        <v>263.51</v>
      </c>
      <c r="C252" s="15">
        <f t="shared" si="67"/>
        <v>628.1891775</v>
      </c>
    </row>
    <row r="253">
      <c r="A253" s="2"/>
    </row>
    <row r="254">
      <c r="A254" s="34" t="s">
        <v>238</v>
      </c>
      <c r="B254" s="35"/>
      <c r="C254" s="35"/>
      <c r="D254" s="35"/>
      <c r="E254" s="35"/>
      <c r="F254" s="35"/>
      <c r="G254" s="35"/>
      <c r="H254" s="35"/>
    </row>
    <row r="255">
      <c r="A255" s="2" t="s">
        <v>239</v>
      </c>
      <c r="B255" s="2">
        <v>26.79</v>
      </c>
      <c r="C255" s="5">
        <f t="shared" ref="C255:C260" si="68">(0.25*B255*9.81*0.16*0.00385)/(0.075*Power(10,-8)*power(10,6))</f>
        <v>53.9636328</v>
      </c>
    </row>
    <row r="256">
      <c r="A256" s="2" t="s">
        <v>240</v>
      </c>
      <c r="B256" s="2">
        <v>27.18</v>
      </c>
      <c r="C256" s="5">
        <f t="shared" si="68"/>
        <v>54.7492176</v>
      </c>
    </row>
    <row r="257">
      <c r="A257" s="2" t="s">
        <v>241</v>
      </c>
      <c r="B257" s="2">
        <v>27.34</v>
      </c>
      <c r="C257" s="5">
        <f t="shared" si="68"/>
        <v>55.0715088</v>
      </c>
    </row>
    <row r="258">
      <c r="A258" s="2" t="s">
        <v>242</v>
      </c>
      <c r="B258" s="2">
        <v>26.15</v>
      </c>
      <c r="C258" s="5">
        <f t="shared" si="68"/>
        <v>52.674468</v>
      </c>
    </row>
    <row r="259">
      <c r="A259" s="2" t="s">
        <v>243</v>
      </c>
      <c r="B259" s="2">
        <v>23.87</v>
      </c>
      <c r="C259" s="5">
        <f t="shared" si="68"/>
        <v>48.0818184</v>
      </c>
    </row>
    <row r="260">
      <c r="A260" s="2" t="s">
        <v>244</v>
      </c>
      <c r="B260" s="2">
        <v>27.77</v>
      </c>
      <c r="C260" s="5">
        <f t="shared" si="68"/>
        <v>55.9376664</v>
      </c>
    </row>
    <row r="261">
      <c r="A261" s="2" t="s">
        <v>29</v>
      </c>
      <c r="B261" s="37">
        <f t="shared" ref="B261:C261" si="69">AVERAGE(B255:B260)</f>
        <v>26.51666667</v>
      </c>
      <c r="C261" s="37">
        <f t="shared" si="69"/>
        <v>53.413052</v>
      </c>
      <c r="J261" s="2" t="s">
        <v>8</v>
      </c>
      <c r="K261" s="2" t="s">
        <v>245</v>
      </c>
    </row>
    <row r="262">
      <c r="A262" s="2" t="s">
        <v>32</v>
      </c>
      <c r="B262" s="4">
        <f t="shared" ref="B262:C262" si="70">STDEV(B255:B260)</f>
        <v>1.407318964</v>
      </c>
      <c r="C262" s="4">
        <f t="shared" si="70"/>
        <v>2.834790736</v>
      </c>
      <c r="J262" s="27">
        <f t="shared" ref="J262:J263" si="71">B261/$F$12</f>
        <v>0.7525020338</v>
      </c>
      <c r="K262" s="2">
        <v>0.0</v>
      </c>
    </row>
    <row r="263">
      <c r="J263" s="27">
        <f t="shared" si="71"/>
        <v>0.039937538</v>
      </c>
    </row>
    <row r="264">
      <c r="A264" s="2" t="s">
        <v>246</v>
      </c>
      <c r="B264" s="2">
        <v>29.54</v>
      </c>
      <c r="C264" s="15">
        <f t="shared" ref="C264:C265" si="72">3*(9.81*B264)*(0.16)/(2*0.015*POWER(0.01,2)*POW(10,6))</f>
        <v>46.365984</v>
      </c>
      <c r="D264" s="2">
        <v>0.02148</v>
      </c>
      <c r="E264" s="2" t="s">
        <v>10</v>
      </c>
    </row>
    <row r="265">
      <c r="A265" s="2" t="s">
        <v>247</v>
      </c>
      <c r="B265" s="2">
        <v>19.98</v>
      </c>
      <c r="C265" s="15">
        <f t="shared" si="72"/>
        <v>31.360608</v>
      </c>
      <c r="D265" s="2">
        <v>0.02178</v>
      </c>
    </row>
    <row r="270">
      <c r="A270" s="2" t="s">
        <v>29</v>
      </c>
      <c r="B270" s="12">
        <f t="shared" ref="B270:C270" si="73">AVERAGE(B264:B269)</f>
        <v>24.76</v>
      </c>
      <c r="C270" s="12">
        <f t="shared" si="73"/>
        <v>38.863296</v>
      </c>
      <c r="J270" s="2" t="s">
        <v>8</v>
      </c>
      <c r="K270" s="2" t="s">
        <v>245</v>
      </c>
    </row>
    <row r="271">
      <c r="A271" s="2" t="s">
        <v>32</v>
      </c>
      <c r="B271" s="12">
        <f t="shared" ref="B271:C271" si="74">STDEV(B264:B269)</f>
        <v>6.759940828</v>
      </c>
      <c r="C271" s="12">
        <f t="shared" si="74"/>
        <v>10.61040312</v>
      </c>
      <c r="J271" s="27">
        <f t="shared" ref="J271:J272" si="75">B270/$F$12</f>
        <v>0.7026505477</v>
      </c>
      <c r="K271" s="2">
        <v>0.0</v>
      </c>
    </row>
    <row r="272">
      <c r="J272" s="27">
        <f t="shared" si="75"/>
        <v>0.1918366771</v>
      </c>
    </row>
    <row r="273">
      <c r="A273" s="2" t="s">
        <v>248</v>
      </c>
      <c r="B273" s="2">
        <v>31.51</v>
      </c>
      <c r="C273" s="37">
        <f t="shared" ref="C273:C278" si="76">3*(9.81*B273)*(0.16)/(2*0.015*POWER(0.01,2)*POW(10,6))</f>
        <v>49.458096</v>
      </c>
      <c r="D273" s="2">
        <v>0.01583</v>
      </c>
    </row>
    <row r="274">
      <c r="A274" s="2" t="s">
        <v>249</v>
      </c>
      <c r="B274" s="2">
        <v>32.19</v>
      </c>
      <c r="C274" s="37">
        <f t="shared" si="76"/>
        <v>50.525424</v>
      </c>
      <c r="D274" s="2">
        <v>0.03506</v>
      </c>
      <c r="E274" s="2" t="s">
        <v>250</v>
      </c>
    </row>
    <row r="275">
      <c r="A275" s="2" t="s">
        <v>251</v>
      </c>
      <c r="B275" s="2">
        <v>30.18</v>
      </c>
      <c r="C275" s="37">
        <f t="shared" si="76"/>
        <v>47.370528</v>
      </c>
      <c r="D275" s="2">
        <v>0.01485</v>
      </c>
      <c r="E275" s="2" t="s">
        <v>252</v>
      </c>
    </row>
    <row r="276">
      <c r="A276" s="2" t="s">
        <v>253</v>
      </c>
      <c r="B276" s="2">
        <v>30.6</v>
      </c>
      <c r="C276" s="37">
        <f t="shared" si="76"/>
        <v>48.02976</v>
      </c>
      <c r="D276" s="2">
        <v>0.01185</v>
      </c>
      <c r="E276" s="2" t="s">
        <v>254</v>
      </c>
    </row>
    <row r="277">
      <c r="A277" s="2" t="s">
        <v>255</v>
      </c>
      <c r="B277" s="2">
        <v>33.11</v>
      </c>
      <c r="C277" s="37">
        <f t="shared" si="76"/>
        <v>51.969456</v>
      </c>
      <c r="D277" s="2">
        <v>0.01505</v>
      </c>
      <c r="E277" s="2" t="s">
        <v>256</v>
      </c>
    </row>
    <row r="278">
      <c r="A278" s="2" t="s">
        <v>257</v>
      </c>
      <c r="B278" s="2">
        <v>30.52</v>
      </c>
      <c r="C278" s="37">
        <f t="shared" si="76"/>
        <v>47.904192</v>
      </c>
      <c r="D278" s="2">
        <v>0.01691</v>
      </c>
      <c r="E278" s="2" t="s">
        <v>258</v>
      </c>
    </row>
    <row r="279">
      <c r="A279" s="2" t="s">
        <v>29</v>
      </c>
      <c r="B279" s="12">
        <f t="shared" ref="B279:C279" si="77">AVERAGE(B273:B278)</f>
        <v>31.35166667</v>
      </c>
      <c r="C279" s="5">
        <f t="shared" si="77"/>
        <v>49.209576</v>
      </c>
      <c r="J279" s="2" t="s">
        <v>8</v>
      </c>
      <c r="K279" s="2" t="s">
        <v>51</v>
      </c>
    </row>
    <row r="280">
      <c r="A280" s="2" t="s">
        <v>32</v>
      </c>
      <c r="B280" s="4">
        <f t="shared" ref="B280:C280" si="78">STDEV(B273:B278)</f>
        <v>1.135700958</v>
      </c>
      <c r="C280" s="4">
        <f t="shared" si="78"/>
        <v>1.782596224</v>
      </c>
      <c r="J280" s="27">
        <f t="shared" ref="J280:J281" si="79">B279/$F$12</f>
        <v>0.8897118641</v>
      </c>
      <c r="K280" s="12">
        <f>1-(1-J280)/(1-J262)</f>
        <v>0.5543877083</v>
      </c>
    </row>
    <row r="281">
      <c r="J281" s="27">
        <f t="shared" si="79"/>
        <v>0.03222943863</v>
      </c>
    </row>
    <row r="283">
      <c r="A283" s="2" t="s">
        <v>259</v>
      </c>
      <c r="B283" s="2">
        <v>35.43</v>
      </c>
      <c r="C283" s="15">
        <f t="shared" ref="C283:C288" si="80">3*(9.81*B283)*(0.16)/(2*0.015*POWER(0.01,2)*POW(10,6))</f>
        <v>55.610928</v>
      </c>
      <c r="D283" s="2">
        <v>0.01354</v>
      </c>
      <c r="E283" s="2" t="s">
        <v>10</v>
      </c>
    </row>
    <row r="284">
      <c r="A284" s="2" t="s">
        <v>260</v>
      </c>
      <c r="B284" s="2">
        <v>36.24</v>
      </c>
      <c r="C284" s="15">
        <f t="shared" si="80"/>
        <v>56.882304</v>
      </c>
      <c r="D284" s="2">
        <v>0.04355</v>
      </c>
      <c r="E284" s="2" t="s">
        <v>10</v>
      </c>
    </row>
    <row r="285">
      <c r="A285" s="2" t="s">
        <v>261</v>
      </c>
      <c r="B285" s="2">
        <v>38.4</v>
      </c>
      <c r="C285" s="15">
        <f t="shared" si="80"/>
        <v>60.27264</v>
      </c>
      <c r="D285" s="2">
        <v>0.02836</v>
      </c>
      <c r="E285" s="2" t="s">
        <v>10</v>
      </c>
    </row>
    <row r="286">
      <c r="A286" s="7" t="s">
        <v>262</v>
      </c>
      <c r="B286" s="2">
        <v>53.04</v>
      </c>
      <c r="C286" s="15">
        <f t="shared" si="80"/>
        <v>83.251584</v>
      </c>
      <c r="D286" s="2">
        <v>0.0233514</v>
      </c>
      <c r="E286" s="2" t="s">
        <v>10</v>
      </c>
      <c r="G286" s="2" t="s">
        <v>263</v>
      </c>
    </row>
    <row r="287">
      <c r="A287" s="7" t="s">
        <v>264</v>
      </c>
      <c r="B287" s="2">
        <v>52.53</v>
      </c>
      <c r="C287" s="15">
        <f t="shared" si="80"/>
        <v>82.451088</v>
      </c>
      <c r="D287" s="2">
        <v>0.002215</v>
      </c>
    </row>
    <row r="288">
      <c r="A288" s="7" t="s">
        <v>265</v>
      </c>
      <c r="B288" s="2">
        <v>50.67</v>
      </c>
      <c r="C288" s="15">
        <f t="shared" si="80"/>
        <v>79.531632</v>
      </c>
      <c r="D288" s="2">
        <v>0.0204576</v>
      </c>
      <c r="E288" s="2" t="s">
        <v>10</v>
      </c>
    </row>
    <row r="289">
      <c r="A289" s="2" t="s">
        <v>29</v>
      </c>
      <c r="B289" s="12">
        <f t="shared" ref="B289:C289" si="81">AVERAGE(B283:B288)</f>
        <v>44.385</v>
      </c>
      <c r="C289" s="12">
        <f t="shared" si="81"/>
        <v>69.666696</v>
      </c>
      <c r="J289" s="2" t="s">
        <v>8</v>
      </c>
      <c r="K289" s="2" t="s">
        <v>51</v>
      </c>
    </row>
    <row r="290">
      <c r="A290" s="2" t="s">
        <v>32</v>
      </c>
      <c r="B290" s="4">
        <f t="shared" ref="B290:C290" si="82">STDEV(B283:B288)</f>
        <v>8.521790305</v>
      </c>
      <c r="C290" s="4">
        <f t="shared" si="82"/>
        <v>13.37580206</v>
      </c>
      <c r="J290" s="27">
        <f t="shared" ref="J290:J291" si="83">B289/$F$12</f>
        <v>1.259577729</v>
      </c>
      <c r="K290" s="12">
        <f>1-(1-J290)/(1-J276)</f>
        <v>1.259577729</v>
      </c>
    </row>
    <row r="291">
      <c r="J291" s="27">
        <f t="shared" si="83"/>
        <v>0.2418352433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3.88"/>
    <col customWidth="1" min="3" max="3" width="18.13"/>
    <col customWidth="1" min="4" max="4" width="19.0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H2" s="2" t="s">
        <v>266</v>
      </c>
    </row>
    <row r="3">
      <c r="A3" s="2" t="s">
        <v>11</v>
      </c>
      <c r="H3" s="38">
        <v>0.4</v>
      </c>
      <c r="I3" s="12">
        <f>B48/B10</f>
        <v>0.2878549849</v>
      </c>
    </row>
    <row r="4">
      <c r="A4" s="2" t="s">
        <v>267</v>
      </c>
      <c r="B4" s="2">
        <v>26.59</v>
      </c>
      <c r="C4" s="15">
        <f t="shared" ref="C4:C9" si="1">3*(9.81*B4)*(0.16)/(2*0.015*POWER(0.01,2)*POW(10,6))</f>
        <v>41.735664</v>
      </c>
      <c r="D4" s="2">
        <v>0.02475</v>
      </c>
      <c r="E4" s="2" t="s">
        <v>10</v>
      </c>
      <c r="H4" s="38">
        <v>0.2</v>
      </c>
      <c r="I4" s="12">
        <f>B57/B10</f>
        <v>0.1991540785</v>
      </c>
    </row>
    <row r="5">
      <c r="A5" s="2" t="s">
        <v>268</v>
      </c>
      <c r="B5" s="2">
        <v>27.2</v>
      </c>
      <c r="C5" s="15">
        <f t="shared" si="1"/>
        <v>42.69312</v>
      </c>
      <c r="D5" s="2">
        <v>0.01273</v>
      </c>
      <c r="H5" s="2" t="s">
        <v>269</v>
      </c>
      <c r="I5" s="12">
        <f>B67/B10</f>
        <v>0.0535347432</v>
      </c>
    </row>
    <row r="6">
      <c r="A6" s="2" t="s">
        <v>270</v>
      </c>
      <c r="B6" s="2">
        <v>28.74</v>
      </c>
      <c r="C6" s="15">
        <f t="shared" si="1"/>
        <v>45.110304</v>
      </c>
      <c r="D6" s="2">
        <v>0.02598</v>
      </c>
      <c r="E6" s="2" t="s">
        <v>271</v>
      </c>
    </row>
    <row r="7">
      <c r="A7" s="2" t="s">
        <v>272</v>
      </c>
      <c r="B7" s="2">
        <v>28.23</v>
      </c>
      <c r="C7" s="15">
        <f t="shared" si="1"/>
        <v>44.309808</v>
      </c>
      <c r="D7" s="2">
        <v>0.01105</v>
      </c>
    </row>
    <row r="8">
      <c r="A8" s="2" t="s">
        <v>273</v>
      </c>
      <c r="B8" s="2">
        <v>26.15</v>
      </c>
      <c r="C8" s="15">
        <f t="shared" si="1"/>
        <v>41.04504</v>
      </c>
      <c r="D8" s="2">
        <v>0.0178</v>
      </c>
      <c r="E8" s="2" t="s">
        <v>10</v>
      </c>
    </row>
    <row r="9">
      <c r="A9" s="2" t="s">
        <v>274</v>
      </c>
      <c r="B9" s="2">
        <v>28.59</v>
      </c>
      <c r="C9" s="15">
        <f t="shared" si="1"/>
        <v>44.874864</v>
      </c>
      <c r="D9" s="2">
        <v>0.00949</v>
      </c>
      <c r="E9" s="2" t="s">
        <v>146</v>
      </c>
    </row>
    <row r="10">
      <c r="A10" s="2" t="s">
        <v>79</v>
      </c>
      <c r="B10" s="12">
        <f t="shared" ref="B10:C10" si="2">average(B4:B9)</f>
        <v>27.58333333</v>
      </c>
      <c r="C10" s="12">
        <f t="shared" si="2"/>
        <v>43.2948</v>
      </c>
    </row>
    <row r="11">
      <c r="A11" s="2" t="s">
        <v>173</v>
      </c>
      <c r="B11" s="12">
        <f t="shared" ref="B11:C11" si="3">stdev(B4:B9)</f>
        <v>1.091561573</v>
      </c>
      <c r="C11" s="12">
        <f t="shared" si="3"/>
        <v>1.713315044</v>
      </c>
    </row>
    <row r="13">
      <c r="A13" s="2" t="s">
        <v>275</v>
      </c>
    </row>
    <row r="14">
      <c r="A14" s="2"/>
    </row>
    <row r="15">
      <c r="A15" s="2" t="s">
        <v>276</v>
      </c>
      <c r="B15" s="2">
        <v>9.47</v>
      </c>
      <c r="C15" s="15">
        <f t="shared" ref="C15:C20" si="4">3*(9.81*B15)*(0.16)/(2*0.015*POWER(0.01,2)*POW(10,6))</f>
        <v>14.864112</v>
      </c>
      <c r="D15" s="2">
        <v>0.03134</v>
      </c>
      <c r="E15" s="2" t="s">
        <v>146</v>
      </c>
    </row>
    <row r="16">
      <c r="A16" s="2" t="s">
        <v>277</v>
      </c>
      <c r="B16" s="2">
        <v>9.36</v>
      </c>
      <c r="C16" s="15">
        <f t="shared" si="4"/>
        <v>14.691456</v>
      </c>
      <c r="D16" s="2">
        <v>0.00636</v>
      </c>
    </row>
    <row r="17">
      <c r="A17" s="2" t="s">
        <v>278</v>
      </c>
      <c r="B17" s="2">
        <v>12.53</v>
      </c>
      <c r="C17" s="15">
        <f t="shared" si="4"/>
        <v>19.667088</v>
      </c>
      <c r="D17" s="2">
        <v>0.02663</v>
      </c>
    </row>
    <row r="18">
      <c r="A18" s="2" t="s">
        <v>279</v>
      </c>
      <c r="B18" s="2">
        <v>11.47</v>
      </c>
      <c r="C18" s="15">
        <f t="shared" si="4"/>
        <v>18.003312</v>
      </c>
      <c r="D18" s="2">
        <v>0.00384</v>
      </c>
      <c r="E18" s="2" t="s">
        <v>146</v>
      </c>
    </row>
    <row r="19">
      <c r="A19" s="2" t="s">
        <v>280</v>
      </c>
      <c r="B19" s="2">
        <v>10.07</v>
      </c>
      <c r="C19" s="15">
        <f t="shared" si="4"/>
        <v>15.805872</v>
      </c>
      <c r="D19" s="2">
        <v>0.00718</v>
      </c>
      <c r="E19" s="2" t="s">
        <v>146</v>
      </c>
    </row>
    <row r="20">
      <c r="A20" s="2" t="s">
        <v>281</v>
      </c>
      <c r="B20" s="2">
        <v>12.13</v>
      </c>
      <c r="C20" s="15">
        <f t="shared" si="4"/>
        <v>19.039248</v>
      </c>
      <c r="D20" s="2">
        <v>0.02277</v>
      </c>
    </row>
    <row r="21">
      <c r="A21" s="2" t="s">
        <v>79</v>
      </c>
      <c r="B21" s="12">
        <f t="shared" ref="B21:C21" si="5">average(B15:B20)</f>
        <v>10.83833333</v>
      </c>
      <c r="C21" s="12">
        <f t="shared" si="5"/>
        <v>17.011848</v>
      </c>
    </row>
    <row r="22">
      <c r="A22" s="2" t="s">
        <v>173</v>
      </c>
      <c r="B22" s="12">
        <f t="shared" ref="B22:C22" si="6">stdev(B15:B20)</f>
        <v>1.384000241</v>
      </c>
      <c r="C22" s="12">
        <f t="shared" si="6"/>
        <v>2.172326778</v>
      </c>
    </row>
    <row r="23">
      <c r="A23" s="2"/>
    </row>
    <row r="24">
      <c r="A24" s="2" t="s">
        <v>282</v>
      </c>
      <c r="B24" s="2">
        <v>13.11</v>
      </c>
      <c r="C24" s="15">
        <f t="shared" ref="C24:C29" si="7">3*(9.81*B24)*(0.16)/(2*0.015*POWER(0.01,2)*POW(10,6))</f>
        <v>20.577456</v>
      </c>
      <c r="D24" s="2">
        <v>0.04911</v>
      </c>
      <c r="E24" s="2" t="s">
        <v>10</v>
      </c>
    </row>
    <row r="25">
      <c r="A25" s="2" t="s">
        <v>283</v>
      </c>
      <c r="B25" s="2">
        <v>13.88</v>
      </c>
      <c r="C25" s="15">
        <f t="shared" si="7"/>
        <v>21.786048</v>
      </c>
      <c r="D25" s="2">
        <v>0.01508</v>
      </c>
      <c r="E25" s="2" t="s">
        <v>10</v>
      </c>
    </row>
    <row r="26">
      <c r="A26" s="2" t="s">
        <v>284</v>
      </c>
      <c r="B26" s="2">
        <v>12.36</v>
      </c>
      <c r="C26" s="15">
        <f t="shared" si="7"/>
        <v>19.400256</v>
      </c>
      <c r="D26" s="2">
        <v>0.03452</v>
      </c>
      <c r="E26" s="2" t="s">
        <v>10</v>
      </c>
    </row>
    <row r="27">
      <c r="A27" s="2" t="s">
        <v>285</v>
      </c>
      <c r="B27" s="2">
        <v>11.49</v>
      </c>
      <c r="C27" s="15">
        <f t="shared" si="7"/>
        <v>18.034704</v>
      </c>
      <c r="D27" s="2">
        <v>0.01258</v>
      </c>
      <c r="E27" s="2" t="s">
        <v>10</v>
      </c>
    </row>
    <row r="28">
      <c r="A28" s="2" t="s">
        <v>286</v>
      </c>
      <c r="B28" s="2">
        <v>10.77</v>
      </c>
      <c r="C28" s="15">
        <f t="shared" si="7"/>
        <v>16.904592</v>
      </c>
      <c r="D28" s="2">
        <v>0.03868</v>
      </c>
      <c r="E28" s="2" t="s">
        <v>10</v>
      </c>
    </row>
    <row r="29">
      <c r="A29" s="2" t="s">
        <v>287</v>
      </c>
      <c r="B29" s="2">
        <v>11.7</v>
      </c>
      <c r="C29" s="15">
        <f t="shared" si="7"/>
        <v>18.36432</v>
      </c>
      <c r="D29" s="2">
        <v>0.02059</v>
      </c>
      <c r="E29" s="2" t="s">
        <v>10</v>
      </c>
    </row>
    <row r="30">
      <c r="A30" s="2" t="s">
        <v>79</v>
      </c>
      <c r="B30" s="12">
        <f t="shared" ref="B30:C30" si="8">average(B24:B29)</f>
        <v>12.21833333</v>
      </c>
      <c r="C30" s="12">
        <f t="shared" si="8"/>
        <v>19.177896</v>
      </c>
    </row>
    <row r="31">
      <c r="A31" s="2" t="s">
        <v>173</v>
      </c>
      <c r="B31" s="12">
        <f t="shared" ref="B31:C31" si="9">stdev(B24:B29)</f>
        <v>1.137812228</v>
      </c>
      <c r="C31" s="12">
        <f t="shared" si="9"/>
        <v>1.785910073</v>
      </c>
    </row>
    <row r="32">
      <c r="A32" s="2"/>
    </row>
    <row r="33">
      <c r="A33" s="2" t="s">
        <v>288</v>
      </c>
      <c r="B33" s="2">
        <v>11.77</v>
      </c>
      <c r="C33" s="15">
        <f t="shared" ref="C33:C38" si="10">3*(9.81*B33)*(0.16)/(2*0.015*POWER(0.01,2)*POW(10,6))</f>
        <v>18.474192</v>
      </c>
      <c r="D33" s="2">
        <v>0.2056</v>
      </c>
      <c r="E33" s="2" t="s">
        <v>10</v>
      </c>
    </row>
    <row r="34">
      <c r="A34" s="2" t="s">
        <v>289</v>
      </c>
      <c r="B34" s="2">
        <v>11.98</v>
      </c>
      <c r="C34" s="15">
        <f t="shared" si="10"/>
        <v>18.803808</v>
      </c>
      <c r="D34" s="2" t="s">
        <v>149</v>
      </c>
    </row>
    <row r="35">
      <c r="A35" s="2" t="s">
        <v>290</v>
      </c>
      <c r="B35" s="2">
        <v>12.3</v>
      </c>
      <c r="C35" s="15">
        <f t="shared" si="10"/>
        <v>19.30608</v>
      </c>
      <c r="D35" s="2">
        <v>0.03571</v>
      </c>
      <c r="E35" s="2" t="s">
        <v>10</v>
      </c>
    </row>
    <row r="36">
      <c r="A36" s="2" t="s">
        <v>291</v>
      </c>
      <c r="B36" s="2">
        <v>11.62</v>
      </c>
      <c r="C36" s="15">
        <f t="shared" si="10"/>
        <v>18.238752</v>
      </c>
      <c r="D36" s="2">
        <v>0.01472</v>
      </c>
      <c r="E36" s="2" t="s">
        <v>10</v>
      </c>
    </row>
    <row r="37">
      <c r="A37" s="2" t="s">
        <v>292</v>
      </c>
      <c r="B37" s="2">
        <v>11.98</v>
      </c>
      <c r="C37" s="15">
        <f t="shared" si="10"/>
        <v>18.803808</v>
      </c>
      <c r="D37" s="2">
        <v>0.01917</v>
      </c>
      <c r="E37" s="2" t="s">
        <v>10</v>
      </c>
    </row>
    <row r="38">
      <c r="A38" s="2" t="s">
        <v>293</v>
      </c>
      <c r="B38" s="2">
        <v>10.82</v>
      </c>
      <c r="C38" s="15">
        <f t="shared" si="10"/>
        <v>16.983072</v>
      </c>
      <c r="D38" s="2">
        <v>0.04439</v>
      </c>
      <c r="E38" s="2" t="s">
        <v>10</v>
      </c>
    </row>
    <row r="39">
      <c r="A39" s="2" t="s">
        <v>79</v>
      </c>
      <c r="B39" s="12">
        <f t="shared" ref="B39:C39" si="11">average(B33:B38)</f>
        <v>11.745</v>
      </c>
      <c r="C39" s="12">
        <f t="shared" si="11"/>
        <v>18.434952</v>
      </c>
    </row>
    <row r="40">
      <c r="A40" s="2" t="s">
        <v>173</v>
      </c>
      <c r="B40" s="12">
        <f t="shared" ref="B40:C40" si="12">stdev(B33:B38)</f>
        <v>0.5080059055</v>
      </c>
      <c r="C40" s="12">
        <f t="shared" si="12"/>
        <v>0.7973660692</v>
      </c>
    </row>
    <row r="42">
      <c r="A42" s="2" t="s">
        <v>294</v>
      </c>
      <c r="B42" s="2">
        <v>2.03</v>
      </c>
      <c r="D42" s="2">
        <v>0.00356</v>
      </c>
      <c r="E42" s="2" t="s">
        <v>211</v>
      </c>
    </row>
    <row r="43">
      <c r="A43" s="2" t="s">
        <v>295</v>
      </c>
      <c r="B43" s="2">
        <v>10.46</v>
      </c>
      <c r="D43" s="2">
        <v>0.00962</v>
      </c>
      <c r="E43" s="2" t="s">
        <v>149</v>
      </c>
    </row>
    <row r="44">
      <c r="A44" s="2" t="s">
        <v>296</v>
      </c>
      <c r="B44" s="2">
        <v>10.13</v>
      </c>
      <c r="D44" s="2">
        <v>0.00797</v>
      </c>
    </row>
    <row r="45">
      <c r="A45" s="2" t="s">
        <v>297</v>
      </c>
      <c r="B45" s="2">
        <v>6.52</v>
      </c>
      <c r="D45" s="2">
        <v>0.019</v>
      </c>
      <c r="E45" s="2" t="s">
        <v>146</v>
      </c>
    </row>
    <row r="46">
      <c r="A46" s="2" t="s">
        <v>298</v>
      </c>
      <c r="B46" s="2">
        <v>10.56</v>
      </c>
      <c r="D46" s="2">
        <v>0.00743</v>
      </c>
      <c r="E46" s="2" t="s">
        <v>149</v>
      </c>
    </row>
    <row r="48">
      <c r="A48" s="2" t="s">
        <v>79</v>
      </c>
      <c r="B48" s="12">
        <f>average(B42:B46)</f>
        <v>7.94</v>
      </c>
    </row>
    <row r="49">
      <c r="A49" s="2" t="s">
        <v>173</v>
      </c>
      <c r="B49" s="12">
        <f>stdev(B42:B46)</f>
        <v>3.706595473</v>
      </c>
    </row>
    <row r="51">
      <c r="A51" s="2" t="s">
        <v>299</v>
      </c>
      <c r="B51" s="2">
        <v>5.96</v>
      </c>
      <c r="D51" s="2">
        <v>0.00643</v>
      </c>
    </row>
    <row r="52">
      <c r="A52" s="2" t="s">
        <v>300</v>
      </c>
      <c r="B52" s="2">
        <v>4.53</v>
      </c>
      <c r="D52" s="2">
        <v>4.3E-4</v>
      </c>
    </row>
    <row r="53">
      <c r="A53" s="2" t="s">
        <v>301</v>
      </c>
      <c r="B53" s="2">
        <v>4.92</v>
      </c>
      <c r="D53" s="2">
        <v>0.001</v>
      </c>
    </row>
    <row r="54">
      <c r="A54" s="2" t="s">
        <v>302</v>
      </c>
      <c r="B54" s="2">
        <v>5.15</v>
      </c>
      <c r="D54" s="2">
        <v>0.00127</v>
      </c>
    </row>
    <row r="55">
      <c r="A55" s="2" t="s">
        <v>303</v>
      </c>
      <c r="B55" s="2">
        <v>6.2</v>
      </c>
      <c r="D55" s="2">
        <v>0.00564</v>
      </c>
    </row>
    <row r="56">
      <c r="A56" s="2" t="s">
        <v>304</v>
      </c>
      <c r="B56" s="2">
        <v>6.2</v>
      </c>
      <c r="D56" s="2">
        <v>0.00175</v>
      </c>
    </row>
    <row r="57">
      <c r="A57" s="2" t="s">
        <v>305</v>
      </c>
      <c r="B57" s="12">
        <f>average(B51:B56)</f>
        <v>5.493333333</v>
      </c>
    </row>
    <row r="58">
      <c r="A58" s="2" t="s">
        <v>173</v>
      </c>
      <c r="B58" s="12">
        <f>stdev(B51:B56)</f>
        <v>0.7198796196</v>
      </c>
    </row>
    <row r="60">
      <c r="A60" s="2" t="s">
        <v>306</v>
      </c>
    </row>
    <row r="61">
      <c r="A61" s="2" t="s">
        <v>307</v>
      </c>
      <c r="B61" s="2">
        <v>1.79</v>
      </c>
      <c r="D61" s="2" t="s">
        <v>308</v>
      </c>
    </row>
    <row r="62">
      <c r="A62" s="2" t="s">
        <v>309</v>
      </c>
      <c r="B62" s="2">
        <v>1.52</v>
      </c>
    </row>
    <row r="63">
      <c r="A63" s="2" t="s">
        <v>310</v>
      </c>
      <c r="B63" s="2">
        <v>1.39</v>
      </c>
    </row>
    <row r="64">
      <c r="A64" s="2" t="s">
        <v>311</v>
      </c>
      <c r="B64" s="2">
        <v>1.42</v>
      </c>
    </row>
    <row r="65">
      <c r="A65" s="2" t="s">
        <v>312</v>
      </c>
      <c r="B65" s="2">
        <v>1.28</v>
      </c>
    </row>
    <row r="66">
      <c r="A66" s="2" t="s">
        <v>313</v>
      </c>
      <c r="B66" s="2">
        <v>1.46</v>
      </c>
    </row>
    <row r="67">
      <c r="A67" s="2" t="s">
        <v>79</v>
      </c>
      <c r="B67" s="12">
        <f>average(B61:B66)</f>
        <v>1.476666667</v>
      </c>
    </row>
    <row r="68">
      <c r="A68" s="2" t="s">
        <v>173</v>
      </c>
      <c r="B68" s="12">
        <f>stdev(B61:B66)</f>
        <v>0.1730510522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8.0"/>
    <col customWidth="1" min="3" max="3" width="19.38"/>
    <col customWidth="1" min="4" max="4" width="22.63"/>
    <col customWidth="1" min="5" max="5" width="19.88"/>
    <col customWidth="1" min="6" max="6" width="19.63"/>
    <col customWidth="1" min="7" max="7" width="15.63"/>
    <col customWidth="1" min="8" max="8" width="11.63"/>
    <col customWidth="1" min="9" max="9" width="18.25"/>
    <col customWidth="1" min="10" max="10" width="12.0"/>
  </cols>
  <sheetData>
    <row r="1">
      <c r="A1" s="39" t="s">
        <v>314</v>
      </c>
      <c r="B1" s="39" t="s">
        <v>315</v>
      </c>
      <c r="C1" s="39" t="s">
        <v>316</v>
      </c>
      <c r="D1" s="39" t="s">
        <v>317</v>
      </c>
      <c r="E1" s="39" t="s">
        <v>318</v>
      </c>
      <c r="F1" s="39" t="s">
        <v>319</v>
      </c>
      <c r="G1" s="39" t="s">
        <v>320</v>
      </c>
      <c r="H1" s="39" t="s">
        <v>321</v>
      </c>
      <c r="I1" s="39" t="s">
        <v>322</v>
      </c>
      <c r="J1" s="39" t="s">
        <v>323</v>
      </c>
    </row>
    <row r="2">
      <c r="A2" s="39" t="s">
        <v>11</v>
      </c>
      <c r="B2" s="40">
        <f>MIN('PLA Data'!$B$2:$B$6)</f>
        <v>34.6</v>
      </c>
      <c r="C2" s="40">
        <f>QUARTILE('PLA Data'!$B$2:$B$6,1)</f>
        <v>35.04</v>
      </c>
      <c r="D2" s="40">
        <f>QUARTILE('PLA Data'!$B$2:$B$6,2)</f>
        <v>35.23</v>
      </c>
      <c r="E2" s="40">
        <f>QUARTILE('PLA Data'!$B$2:$B$6,3)</f>
        <v>35.31</v>
      </c>
      <c r="F2" s="40">
        <f>MAX('PLA Data'!$B$2:$B$6)</f>
        <v>36.01</v>
      </c>
      <c r="G2" s="41">
        <f>AVERAGE('PLA Data'!B$2:B$6)</f>
        <v>35.238</v>
      </c>
      <c r="H2" s="41">
        <f>STDEV('PLA Data'!$B$2:$B$6)</f>
        <v>0.5117323519</v>
      </c>
      <c r="I2" s="41">
        <f>AVERAGE('PLA Data'!$C$2:$C$6)</f>
        <v>55.3095648</v>
      </c>
      <c r="J2" s="41">
        <f>STDEV('PLA Data'!$C$2:$C$6)</f>
        <v>0.8032150996</v>
      </c>
    </row>
    <row r="3">
      <c r="A3" s="39" t="s">
        <v>275</v>
      </c>
      <c r="B3" s="40">
        <f>MIN('PLA Data'!$B$18:$B$22)</f>
        <v>26.63</v>
      </c>
      <c r="C3" s="40">
        <f>QUARTILE('PLA Data'!$B$18:$B$22,1)</f>
        <v>26.91</v>
      </c>
      <c r="D3" s="40">
        <f>QUARTILE('PLA Data'!$B$18:$B$22,2)</f>
        <v>29.59</v>
      </c>
      <c r="E3" s="40">
        <f>QUARTILE('PLA Data'!$B$18:$B$22,3)</f>
        <v>29.89</v>
      </c>
      <c r="F3" s="40">
        <f>MAX('PLA Data'!$B$18:$B$22)</f>
        <v>31.37</v>
      </c>
      <c r="G3" s="41">
        <f>AVERAGE('PLA Data'!B$18:B$22)</f>
        <v>28.878</v>
      </c>
      <c r="H3" s="41">
        <f>STDEV('PLA Data'!$B$18:$B$22)</f>
        <v>2.041303505</v>
      </c>
      <c r="I3" s="41">
        <f>AVERAGE('PLA Data'!$C$18:$C$22)</f>
        <v>45.3269088</v>
      </c>
      <c r="J3" s="41">
        <f>STDEV('PLA Data'!$C$18:$C$22)</f>
        <v>3.204029982</v>
      </c>
    </row>
    <row r="4">
      <c r="A4" s="39" t="s">
        <v>306</v>
      </c>
      <c r="B4" s="40">
        <f>MIN('PLA Data'!$B$112:$B$116)</f>
        <v>3.57</v>
      </c>
      <c r="C4" s="40">
        <f>QUARTILE('PLA Data'!$B$112:$B$116,1)</f>
        <v>3.83</v>
      </c>
      <c r="D4" s="40">
        <f>QUARTILE('PLA Data'!$B$112:$B$116,2)</f>
        <v>4.22</v>
      </c>
      <c r="E4" s="40">
        <f>QUARTILE('PLA Data'!$B$112:$B$116,3)</f>
        <v>4.57</v>
      </c>
      <c r="F4" s="40">
        <f>MAX('PLA Data'!$B$112:$B$116)</f>
        <v>4.87</v>
      </c>
      <c r="G4" s="41">
        <f>AVERAGE('PLA Data'!B$112:B$116)</f>
        <v>4.212</v>
      </c>
      <c r="H4" s="41">
        <f>STDEV('PLA Data'!$B$112:$B$116)</f>
        <v>0.5289801509</v>
      </c>
      <c r="I4" s="41">
        <f>AVERAGE('PLA Data'!$C$112:$C$116)</f>
        <v>73.45728</v>
      </c>
      <c r="J4" s="41">
        <f>STDEV('PLA Data'!$C$112:$C$116)</f>
        <v>9.225413831</v>
      </c>
    </row>
    <row r="5">
      <c r="G5" s="5"/>
      <c r="H5" s="5"/>
      <c r="I5" s="5"/>
      <c r="J5" s="5"/>
    </row>
    <row r="6">
      <c r="A6" s="39" t="s">
        <v>324</v>
      </c>
      <c r="B6" s="39" t="s">
        <v>315</v>
      </c>
      <c r="C6" s="39" t="s">
        <v>316</v>
      </c>
      <c r="D6" s="39" t="s">
        <v>317</v>
      </c>
      <c r="E6" s="39" t="s">
        <v>318</v>
      </c>
      <c r="F6" s="39" t="s">
        <v>319</v>
      </c>
      <c r="G6" s="42" t="s">
        <v>320</v>
      </c>
      <c r="H6" s="42" t="s">
        <v>321</v>
      </c>
      <c r="I6" s="42" t="s">
        <v>322</v>
      </c>
      <c r="J6" s="42" t="s">
        <v>323</v>
      </c>
    </row>
    <row r="7">
      <c r="A7" s="43" t="s">
        <v>11</v>
      </c>
      <c r="B7" s="40">
        <f>MIN('PLA Data'!$B$2:$B$6)</f>
        <v>34.6</v>
      </c>
      <c r="C7" s="40">
        <f>QUARTILE('PLA Data'!$B$2:$B$6,1)</f>
        <v>35.04</v>
      </c>
      <c r="D7" s="40">
        <f>QUARTILE('PLA Data'!$B$2:$B$6,2)</f>
        <v>35.23</v>
      </c>
      <c r="E7" s="40">
        <f>QUARTILE('PLA Data'!$B$2:$B$6,3)</f>
        <v>35.31</v>
      </c>
      <c r="F7" s="40">
        <f>MAX('PLA Data'!$B$2:$B$6)</f>
        <v>36.01</v>
      </c>
      <c r="G7" s="41">
        <f>AVERAGE('PLA Data'!B$2:B$6)</f>
        <v>35.238</v>
      </c>
      <c r="H7" s="41">
        <f>STDEV('PLA Data'!$B$2:$B$6)</f>
        <v>0.5117323519</v>
      </c>
      <c r="I7" s="41">
        <f>AVERAGE('PLA Data'!$C$2:$C$6)</f>
        <v>55.3095648</v>
      </c>
      <c r="J7" s="41">
        <f>STDEV('PLA Data'!$C$2:$C$6)</f>
        <v>0.8032150996</v>
      </c>
    </row>
    <row r="8">
      <c r="A8" s="39" t="s">
        <v>275</v>
      </c>
      <c r="B8" s="40">
        <f>MIN('PLA Data'!$B$273:$B$278)</f>
        <v>30.18</v>
      </c>
      <c r="C8" s="40">
        <f>QUARTILE('PLA Data'!$B$273:$B$278,1)</f>
        <v>30.54</v>
      </c>
      <c r="D8" s="40">
        <f>QUARTILE('PLA Data'!$B$273:$B$278,2)</f>
        <v>31.055</v>
      </c>
      <c r="E8" s="40">
        <f>QUARTILE('PLA Data'!$B$273:$B$278,3)</f>
        <v>32.02</v>
      </c>
      <c r="F8" s="40">
        <f>MAX('PLA Data'!$B$273:$B$278)</f>
        <v>33.11</v>
      </c>
      <c r="G8" s="41">
        <f>AVERAGE('PLA Data'!$B$273:$B$278)</f>
        <v>31.35166667</v>
      </c>
      <c r="H8" s="41">
        <f>STDEV('PLA Data'!$B$273:$B$278)</f>
        <v>1.135700958</v>
      </c>
      <c r="I8" s="41">
        <f>AVERAGE('PLA Data'!$C$273:$C$278)</f>
        <v>49.209576</v>
      </c>
      <c r="J8" s="41">
        <f>STDEV('PLA Data'!$C$273:$C$278)</f>
        <v>1.782596224</v>
      </c>
    </row>
    <row r="9">
      <c r="A9" s="39" t="s">
        <v>306</v>
      </c>
      <c r="B9" s="40">
        <f>MIN('PLA Data'!$B$255:$B$260)</f>
        <v>23.87</v>
      </c>
      <c r="C9" s="40">
        <f>QUARTILE('PLA Data'!$B$255:$B$260,1)</f>
        <v>26.31</v>
      </c>
      <c r="D9" s="40">
        <f>QUARTILE('PLA Data'!$B$255:$B$260,2)</f>
        <v>26.985</v>
      </c>
      <c r="E9" s="40">
        <f>QUARTILE('PLA Data'!$B$255:$B$260,3)</f>
        <v>27.3</v>
      </c>
      <c r="F9" s="40">
        <f>MAX('PLA Data'!$B$255:$B$260)</f>
        <v>27.77</v>
      </c>
      <c r="G9" s="41">
        <f>AVERAGE('PLA Data'!$B$255:$B$260)</f>
        <v>26.51666667</v>
      </c>
      <c r="H9" s="41">
        <f>STDEV('PLA Data'!$B$255:$B$260)</f>
        <v>1.407318964</v>
      </c>
      <c r="I9" s="41">
        <f>AVERAGE('PLA Data'!$C$255:$C$260)</f>
        <v>53.413052</v>
      </c>
      <c r="J9" s="41">
        <f>STDEV('PLA Data'!$C$255:$C$260)</f>
        <v>2.834790736</v>
      </c>
    </row>
    <row r="11">
      <c r="A11" s="39"/>
      <c r="B11" s="39" t="s">
        <v>315</v>
      </c>
      <c r="C11" s="39" t="s">
        <v>316</v>
      </c>
      <c r="D11" s="39" t="s">
        <v>317</v>
      </c>
      <c r="E11" s="39" t="s">
        <v>318</v>
      </c>
      <c r="F11" s="39" t="s">
        <v>319</v>
      </c>
      <c r="G11" s="39" t="s">
        <v>320</v>
      </c>
      <c r="H11" s="39" t="s">
        <v>321</v>
      </c>
      <c r="I11" s="39" t="s">
        <v>322</v>
      </c>
      <c r="J11" s="39" t="s">
        <v>323</v>
      </c>
    </row>
    <row r="12">
      <c r="A12" s="2" t="s">
        <v>325</v>
      </c>
      <c r="B12" s="40">
        <f>MIN('PLA Data'!$B$28:$B$33)</f>
        <v>32.88</v>
      </c>
      <c r="C12" s="40">
        <f>QUARTILE('PLA Data'!$B$28:$B$33,1)</f>
        <v>42.7575</v>
      </c>
      <c r="D12" s="40">
        <f>QUARTILE('PLA Data'!$B$28:$B$33,2)</f>
        <v>43.365</v>
      </c>
      <c r="E12" s="40">
        <f>QUARTILE('PLA Data'!$B$28:$B$33,3)</f>
        <v>44.1</v>
      </c>
      <c r="F12" s="40">
        <f>MAX('PLA Data'!$B$28:$B$33)</f>
        <v>55.6</v>
      </c>
      <c r="G12" s="41">
        <f>AVERAGE('PLA Data'!$B$28:$B$33)</f>
        <v>43.685</v>
      </c>
      <c r="H12" s="41">
        <f>STDEV('PLA Data'!$B$28:$B$33)</f>
        <v>7.217655436</v>
      </c>
      <c r="I12" s="41">
        <f>AVERAGE('PLA Data'!$C$28:$C$33)</f>
        <v>68.567976</v>
      </c>
      <c r="J12" s="41">
        <f>STDEV('PLA Data'!$C$28:$C$33)</f>
        <v>11.32883197</v>
      </c>
    </row>
    <row r="13">
      <c r="A13" s="39" t="s">
        <v>326</v>
      </c>
      <c r="B13" s="40">
        <f>MIN('PLA Data'!$B$283:$B$288)</f>
        <v>35.43</v>
      </c>
      <c r="C13" s="40">
        <f>QUARTILE('PLA Data'!$B$283:$B$288,1)</f>
        <v>36.78</v>
      </c>
      <c r="D13" s="40">
        <f>QUARTILE('PLA Data'!$B$283:$B$288,2)</f>
        <v>44.535</v>
      </c>
      <c r="E13" s="40">
        <f>QUARTILE('PLA Data'!$B$283:$B$288,3)</f>
        <v>52.065</v>
      </c>
      <c r="F13" s="40">
        <f>MAX('PLA Data'!$B$283:$B$288)</f>
        <v>53.04</v>
      </c>
      <c r="G13" s="41">
        <f>AVERAGE('PLA Data'!$B$283:$B$288)</f>
        <v>44.385</v>
      </c>
      <c r="H13" s="41">
        <f>STDEV('PLA Data'!$B$283:$B$288)</f>
        <v>8.521790305</v>
      </c>
      <c r="I13" s="41">
        <f>AVERAGE('PLA Data'!$C$283:$C$288)</f>
        <v>69.666696</v>
      </c>
      <c r="J13" s="41">
        <f>STDEV('PLA Data'!$C$283:$C$288)</f>
        <v>13.37580206</v>
      </c>
    </row>
    <row r="14">
      <c r="A14" s="39" t="s">
        <v>11</v>
      </c>
      <c r="B14" s="40">
        <f>MIN('PLA Data'!$B$2:$B$6)</f>
        <v>34.6</v>
      </c>
      <c r="C14" s="40">
        <f>QUARTILE('PLA Data'!$B$2:$B$6,1)</f>
        <v>35.04</v>
      </c>
      <c r="D14" s="40">
        <f>QUARTILE('PLA Data'!$B$2:$B$6,2)</f>
        <v>35.23</v>
      </c>
      <c r="E14" s="40">
        <f>QUARTILE('PLA Data'!$B$2:$B$6,3)</f>
        <v>35.31</v>
      </c>
      <c r="F14" s="40">
        <f>MAX('PLA Data'!$B$2:$B$6)</f>
        <v>36.01</v>
      </c>
      <c r="G14" s="41">
        <f>AVERAGE('PLA Data'!B$2:B$6)</f>
        <v>35.238</v>
      </c>
      <c r="H14" s="41">
        <f>STDEV('PLA Data'!$B$2:$B$6)</f>
        <v>0.5117323519</v>
      </c>
      <c r="I14" s="41">
        <f>AVERAGE('PLA Data'!$C$2:$C$6)</f>
        <v>55.3095648</v>
      </c>
      <c r="J14" s="41">
        <f>STDEV('PLA Data'!$C$2:$C$6)</f>
        <v>0.8032150996</v>
      </c>
    </row>
    <row r="15">
      <c r="A15" s="39" t="s">
        <v>327</v>
      </c>
      <c r="B15" s="40">
        <f>MIN('PLA Data'!$B$273:$B$278)</f>
        <v>30.18</v>
      </c>
      <c r="C15" s="40">
        <f>QUARTILE('PLA Data'!$B$273:$B$278,1)</f>
        <v>30.54</v>
      </c>
      <c r="D15" s="40">
        <f>QUARTILE('PLA Data'!$B$273:$B$278,2)</f>
        <v>31.055</v>
      </c>
      <c r="E15" s="40">
        <f>QUARTILE('PLA Data'!$B$273:$B$278,3)</f>
        <v>32.02</v>
      </c>
      <c r="F15" s="40">
        <f>MAX('PLA Data'!$B$273:$B$278)</f>
        <v>33.11</v>
      </c>
      <c r="G15" s="41">
        <f>AVERAGE('PLA Data'!$B$273:$B$278)</f>
        <v>31.35166667</v>
      </c>
      <c r="H15" s="41">
        <f>STDEV('PLA Data'!$B$273:$B$278)</f>
        <v>1.135700958</v>
      </c>
      <c r="I15" s="41">
        <f>AVERAGE('PLA Data'!$C$273:$C$278)</f>
        <v>49.209576</v>
      </c>
      <c r="J15" s="41">
        <f>STDEV('PLA Data'!$C$273:$C$278)</f>
        <v>1.782596224</v>
      </c>
    </row>
    <row r="16">
      <c r="A16" s="39" t="s">
        <v>328</v>
      </c>
      <c r="B16" s="40">
        <f>MIN('PLA Data'!$B$18:$B$22)</f>
        <v>26.63</v>
      </c>
      <c r="C16" s="40">
        <f>QUARTILE('PLA Data'!$B$18:$B$22,1)</f>
        <v>26.91</v>
      </c>
      <c r="D16" s="40">
        <f>QUARTILE('PLA Data'!$B$18:$B$22,2)</f>
        <v>29.59</v>
      </c>
      <c r="E16" s="40">
        <f>QUARTILE('PLA Data'!$B$18:$B$22,3)</f>
        <v>29.89</v>
      </c>
      <c r="F16" s="40">
        <f>MAX('PLA Data'!$B$18:$B$22)</f>
        <v>31.37</v>
      </c>
      <c r="G16" s="41">
        <f>AVERAGE('PLA Data'!B$18:B$22)</f>
        <v>28.878</v>
      </c>
      <c r="H16" s="41">
        <f>STDEV('PLA Data'!$B$18:$B$22)</f>
        <v>2.041303505</v>
      </c>
      <c r="I16" s="41">
        <f>AVERAGE('PLA Data'!$C$18:$C$22)</f>
        <v>45.3269088</v>
      </c>
      <c r="J16" s="41">
        <f>STDEV('PLA Data'!$C$18:$C$22)</f>
        <v>3.204029982</v>
      </c>
    </row>
    <row r="17">
      <c r="A17" s="39" t="s">
        <v>329</v>
      </c>
      <c r="B17" s="40">
        <f>MIN('PLA Data'!$B$255:$B$260)</f>
        <v>23.87</v>
      </c>
      <c r="C17" s="40">
        <f>QUARTILE('PLA Data'!$B$255:$B$260,1)</f>
        <v>26.31</v>
      </c>
      <c r="D17" s="40">
        <f>QUARTILE('PLA Data'!$B$255:$B$260,2)</f>
        <v>26.985</v>
      </c>
      <c r="E17" s="40">
        <f>QUARTILE('PLA Data'!$B$255:$B$260,3)</f>
        <v>27.3</v>
      </c>
      <c r="F17" s="40">
        <f>MAX('PLA Data'!$B$255:$B$260)</f>
        <v>27.77</v>
      </c>
      <c r="G17" s="41">
        <f>AVERAGE('PLA Data'!$B$255:$B$260)</f>
        <v>26.51666667</v>
      </c>
      <c r="H17" s="41">
        <f>STDEV('PLA Data'!$B$255:$B$260)</f>
        <v>1.407318964</v>
      </c>
      <c r="I17" s="41">
        <f>AVERAGE('PLA Data'!$C$255:$C$260)</f>
        <v>53.413052</v>
      </c>
      <c r="J17" s="41">
        <f>STDEV('PLA Data'!$C$255:$C$260)</f>
        <v>2.834790736</v>
      </c>
    </row>
    <row r="18" ht="16.5" customHeight="1">
      <c r="A18" s="39" t="s">
        <v>330</v>
      </c>
      <c r="B18" s="40">
        <f>MIN('PLA Data'!$B$112:$B$116)</f>
        <v>3.57</v>
      </c>
      <c r="C18" s="40">
        <f>QUARTILE('PLA Data'!$B$112:$B$116,1)</f>
        <v>3.83</v>
      </c>
      <c r="D18" s="40">
        <f>QUARTILE('PLA Data'!$B$112:$B$116,2)</f>
        <v>4.22</v>
      </c>
      <c r="E18" s="40">
        <f>QUARTILE('PLA Data'!$B$112:$B$116,3)</f>
        <v>4.57</v>
      </c>
      <c r="F18" s="40">
        <f>MAX('PLA Data'!$B$112:$B$116)</f>
        <v>4.87</v>
      </c>
      <c r="G18" s="41">
        <f>AVERAGE('PLA Data'!B$112:B$116)</f>
        <v>4.212</v>
      </c>
      <c r="H18" s="41">
        <f>STDEV('PLA Data'!$B$112:$B$116)</f>
        <v>0.5289801509</v>
      </c>
      <c r="I18" s="41">
        <f>AVERAGE('PLA Data'!$C$112:$C$116)</f>
        <v>73.45728</v>
      </c>
      <c r="J18" s="41">
        <f>STDEV('PLA Data'!$C$112:$C$116)</f>
        <v>9.225413831</v>
      </c>
    </row>
    <row r="20">
      <c r="B20" s="2" t="s">
        <v>331</v>
      </c>
    </row>
    <row r="21">
      <c r="B21" s="2" t="s">
        <v>331</v>
      </c>
    </row>
    <row r="22">
      <c r="A22" s="2" t="s">
        <v>332</v>
      </c>
      <c r="B22" s="2" t="s">
        <v>333</v>
      </c>
      <c r="C22" s="2" t="s">
        <v>334</v>
      </c>
      <c r="D22" s="2" t="s">
        <v>335</v>
      </c>
      <c r="E22" s="2" t="s">
        <v>336</v>
      </c>
      <c r="F22" s="2" t="s">
        <v>337</v>
      </c>
      <c r="G22" s="2" t="s">
        <v>338</v>
      </c>
      <c r="I22" s="12">
        <f>G12/G14</f>
        <v>1.23971281</v>
      </c>
      <c r="J22" s="12">
        <f>I12/I14</f>
        <v>1.23971281</v>
      </c>
    </row>
    <row r="23">
      <c r="A23" s="38">
        <v>0.2</v>
      </c>
      <c r="B23" s="12">
        <f>'PLA Data'!B92</f>
        <v>1.220682869</v>
      </c>
      <c r="G23" s="44">
        <f>'PLA Data'!B110</f>
        <v>3.492182221</v>
      </c>
      <c r="I23" s="12">
        <f>G13/G14</f>
        <v>1.259577729</v>
      </c>
      <c r="J23" s="12">
        <f>I13/I14</f>
        <v>1.259577729</v>
      </c>
    </row>
    <row r="24">
      <c r="A24" s="38">
        <v>0.4</v>
      </c>
      <c r="B24" s="12">
        <f>'PLA Data'!B83</f>
        <v>0.8836911225</v>
      </c>
      <c r="C24" s="12">
        <f>'PLA Data'!B176</f>
        <v>2.754913187</v>
      </c>
      <c r="D24" s="12">
        <f>'PLA Data'!B185</f>
        <v>1.76418442</v>
      </c>
      <c r="E24" s="44">
        <f>'PLA Data'!B216</f>
        <v>1.978629997</v>
      </c>
      <c r="F24" s="12">
        <f>'PLA Data'!B248</f>
        <v>0.9583318841</v>
      </c>
      <c r="G24" s="44">
        <f>'PLA Data'!B101</f>
        <v>3.029195713</v>
      </c>
    </row>
    <row r="25">
      <c r="A25" s="38">
        <v>0.6</v>
      </c>
      <c r="B25" s="12">
        <f>'PLA Data'!B64</f>
        <v>1.994215802</v>
      </c>
      <c r="C25" s="12">
        <f>'PLA Data'!B129</f>
        <v>1.507726766</v>
      </c>
      <c r="D25" s="12">
        <f>'PLA Data'!B147</f>
        <v>1.948850944</v>
      </c>
      <c r="E25" s="44">
        <f>'PLA Data'!B204</f>
        <v>2.471240579</v>
      </c>
      <c r="F25" s="12">
        <f>'PLA Data'!B238</f>
        <v>0.66134459</v>
      </c>
      <c r="G25" s="44">
        <f>'PLA Data'!B73</f>
        <v>4.132194332</v>
      </c>
      <c r="I25" s="12">
        <f>G15/G14</f>
        <v>0.8897118641</v>
      </c>
    </row>
    <row r="26">
      <c r="A26" s="38">
        <v>0.8</v>
      </c>
      <c r="B26" s="12">
        <f>'PLA Data'!B45</f>
        <v>2.02886175</v>
      </c>
      <c r="C26" s="44">
        <f>'PLA Data'!B138</f>
        <v>1.376857533</v>
      </c>
      <c r="D26" s="12">
        <f>'PLA Data'!B156</f>
        <v>1.311692291</v>
      </c>
      <c r="E26" s="12">
        <f>'PLA Data'!B195</f>
        <v>3.55905465</v>
      </c>
      <c r="F26" s="44">
        <f>'PLA Data'!B226</f>
        <v>1.87043756</v>
      </c>
      <c r="G26" s="44">
        <f>'PLA Data'!B55</f>
        <v>2.224674508</v>
      </c>
      <c r="I26" s="12">
        <f>G16/G14</f>
        <v>0.8195130257</v>
      </c>
    </row>
    <row r="27">
      <c r="A27" s="38">
        <v>1.0</v>
      </c>
      <c r="B27" s="12">
        <f>'PLA Data'!B25</f>
        <v>2.041303505</v>
      </c>
      <c r="G27" s="44">
        <f>'PLA Data'!B35</f>
        <v>0.6950959166</v>
      </c>
      <c r="I27" s="12">
        <f>G17/G14</f>
        <v>0.7525020338</v>
      </c>
    </row>
    <row r="28">
      <c r="A28" s="2" t="s">
        <v>339</v>
      </c>
      <c r="B28" s="12" t="str">
        <f>'PLA Data'!B26</f>
        <v/>
      </c>
      <c r="I28" s="12">
        <f>G18/G14</f>
        <v>0.1195300528</v>
      </c>
    </row>
    <row r="29">
      <c r="A29" s="39" t="s">
        <v>11</v>
      </c>
      <c r="B29" s="45">
        <f>100/100</f>
        <v>1</v>
      </c>
      <c r="C29" s="46"/>
      <c r="D29" s="46"/>
    </row>
    <row r="30">
      <c r="A30" s="39" t="s">
        <v>328</v>
      </c>
      <c r="B30" s="45">
        <f>'PLA Data'!J25</f>
        <v>0.8195130257</v>
      </c>
      <c r="C30" s="40">
        <v>0.9010159486917529</v>
      </c>
      <c r="D30" s="40"/>
    </row>
    <row r="31">
      <c r="A31" s="39"/>
      <c r="B31" s="45">
        <f>'PLA Data'!J26</f>
        <v>0.05792903982</v>
      </c>
      <c r="C31" s="40"/>
      <c r="D31" s="40"/>
    </row>
    <row r="32">
      <c r="A32" s="2" t="s">
        <v>325</v>
      </c>
      <c r="B32" s="45">
        <f>'PLA Data'!J35</f>
        <v>1.231837789</v>
      </c>
      <c r="C32" s="40">
        <v>1.2318377887507805</v>
      </c>
      <c r="D32" s="40"/>
    </row>
    <row r="33">
      <c r="A33" s="2"/>
      <c r="B33" s="45">
        <f>'PLA Data'!J36</f>
        <v>0.01972574824</v>
      </c>
      <c r="C33" s="40"/>
      <c r="D33" s="40"/>
    </row>
    <row r="34">
      <c r="A34" s="39" t="s">
        <v>330</v>
      </c>
      <c r="B34" s="45">
        <f>'PLA Data'!J119</f>
        <v>0.1201827573</v>
      </c>
      <c r="C34" s="40">
        <v>0.12018275725069529</v>
      </c>
      <c r="D34" s="40"/>
    </row>
    <row r="35">
      <c r="A35" s="39"/>
      <c r="B35" s="45">
        <f>'PLA Data'!J148</f>
        <v>0.01352167127</v>
      </c>
      <c r="C35" s="40"/>
      <c r="D35" s="40"/>
    </row>
    <row r="36">
      <c r="A36" s="39" t="s">
        <v>327</v>
      </c>
      <c r="B36" s="45">
        <f>'PLA Data'!J280</f>
        <v>0.8897118641</v>
      </c>
      <c r="C36" s="46"/>
      <c r="D36" s="40">
        <v>0.889711864086119</v>
      </c>
    </row>
    <row r="37">
      <c r="A37" s="39"/>
      <c r="B37" s="45">
        <f>'PLA Data'!J281</f>
        <v>0.03222943863</v>
      </c>
      <c r="C37" s="46"/>
      <c r="D37" s="40"/>
    </row>
    <row r="38">
      <c r="A38" s="39" t="s">
        <v>326</v>
      </c>
      <c r="B38" s="45">
        <f>'PLA Data'!J290</f>
        <v>1.259577729</v>
      </c>
      <c r="C38" s="46"/>
      <c r="D38" s="40">
        <v>1.041205516771667</v>
      </c>
    </row>
    <row r="39">
      <c r="A39" s="39"/>
      <c r="B39" s="45">
        <f>'PLA Data'!J291</f>
        <v>0.2418352433</v>
      </c>
      <c r="C39" s="46"/>
      <c r="D39" s="40"/>
    </row>
    <row r="40">
      <c r="A40" s="39" t="s">
        <v>329</v>
      </c>
      <c r="B40" s="45">
        <f>'PLA Data'!J262</f>
        <v>0.7525020338</v>
      </c>
      <c r="C40" s="46"/>
      <c r="D40" s="40">
        <v>0.7525020337892806</v>
      </c>
    </row>
    <row r="41">
      <c r="A41" s="39"/>
      <c r="B41" s="45">
        <f>'PLA Data'!J263</f>
        <v>0.039937538</v>
      </c>
      <c r="C41" s="46"/>
      <c r="D41" s="40"/>
    </row>
    <row r="42">
      <c r="A42" s="39" t="s">
        <v>340</v>
      </c>
      <c r="B42" s="45">
        <f>'PLA Data'!J271</f>
        <v>0.7026505477</v>
      </c>
      <c r="C42" s="46"/>
      <c r="D42" s="40">
        <v>0.7026505477041829</v>
      </c>
    </row>
    <row r="43">
      <c r="A43" s="39"/>
      <c r="B43" s="45">
        <f>'PLA Data'!J272</f>
        <v>0.1918366771</v>
      </c>
      <c r="C43" s="46"/>
      <c r="D43" s="40"/>
    </row>
    <row r="44">
      <c r="B44" s="2" t="s">
        <v>341</v>
      </c>
      <c r="C44" s="2" t="s">
        <v>238</v>
      </c>
    </row>
    <row r="45">
      <c r="A45" s="2" t="s">
        <v>342</v>
      </c>
      <c r="B45" s="47">
        <f>B32</f>
        <v>1.231837789</v>
      </c>
      <c r="C45" s="47">
        <f>B38</f>
        <v>1.259577729</v>
      </c>
    </row>
    <row r="46">
      <c r="A46" s="2" t="s">
        <v>343</v>
      </c>
      <c r="B46" s="48">
        <f>B30</f>
        <v>0.8195130257</v>
      </c>
      <c r="C46" s="47">
        <f>B36</f>
        <v>0.8897118641</v>
      </c>
    </row>
    <row r="47">
      <c r="A47" s="2" t="s">
        <v>344</v>
      </c>
      <c r="B47" s="47">
        <f>B34</f>
        <v>0.1201827573</v>
      </c>
      <c r="C47" s="47">
        <f>B40</f>
        <v>0.7525020338</v>
      </c>
    </row>
    <row r="48">
      <c r="A48" s="2" t="s">
        <v>345</v>
      </c>
      <c r="C48" s="47">
        <f>B42</f>
        <v>0.7026505477</v>
      </c>
    </row>
    <row r="54">
      <c r="A54" s="49" t="s">
        <v>346</v>
      </c>
      <c r="B54" s="2" t="s">
        <v>331</v>
      </c>
    </row>
    <row r="55">
      <c r="A55" s="2" t="s">
        <v>337</v>
      </c>
      <c r="B55" s="12">
        <v>33.92999999999999</v>
      </c>
    </row>
    <row r="56">
      <c r="A56" s="2" t="s">
        <v>335</v>
      </c>
      <c r="B56" s="5">
        <v>30.733333333333334</v>
      </c>
    </row>
    <row r="57">
      <c r="A57" s="2" t="s">
        <v>336</v>
      </c>
      <c r="B57" s="12">
        <v>27.712</v>
      </c>
    </row>
    <row r="58">
      <c r="A58" s="2" t="s">
        <v>334</v>
      </c>
      <c r="B58" s="5">
        <v>24.886666666666667</v>
      </c>
    </row>
    <row r="59">
      <c r="A59" s="2" t="s">
        <v>333</v>
      </c>
      <c r="B59" s="12">
        <v>24.065</v>
      </c>
    </row>
    <row r="63">
      <c r="A63" s="2" t="s">
        <v>347</v>
      </c>
      <c r="B63" s="2" t="s">
        <v>348</v>
      </c>
      <c r="C63" s="2" t="s">
        <v>349</v>
      </c>
    </row>
    <row r="64">
      <c r="A64" s="2" t="s">
        <v>11</v>
      </c>
      <c r="B64" s="12">
        <f>'PLA Data'!B12</f>
        <v>33.2518</v>
      </c>
      <c r="C64" s="12">
        <f>'ABS Data'!B10</f>
        <v>27.58333333</v>
      </c>
    </row>
    <row r="65">
      <c r="A65" s="2" t="s">
        <v>350</v>
      </c>
      <c r="B65" s="12">
        <f>'PLA Data'!B24</f>
        <v>28.878</v>
      </c>
      <c r="C65" s="12">
        <f>'ABS Data'!B21</f>
        <v>10.83833333</v>
      </c>
    </row>
    <row r="66">
      <c r="A66" s="2" t="s">
        <v>351</v>
      </c>
      <c r="B66" s="12">
        <f>'PLA Data'!B44</f>
        <v>34.15</v>
      </c>
      <c r="C66" s="12">
        <f>'ABS Data'!B30</f>
        <v>12.21833333</v>
      </c>
    </row>
    <row r="67">
      <c r="A67" s="2" t="s">
        <v>352</v>
      </c>
      <c r="B67" s="12">
        <f>'PLA Data'!B63</f>
        <v>21.21166667</v>
      </c>
      <c r="C67" s="12">
        <f>'ABS Data'!B39</f>
        <v>11.745</v>
      </c>
    </row>
    <row r="68">
      <c r="A68" s="2" t="s">
        <v>353</v>
      </c>
      <c r="B68" s="12">
        <f>'PLA Data'!B82</f>
        <v>24.065</v>
      </c>
      <c r="C68" s="12">
        <f>'ABS Data'!B48</f>
        <v>7.94</v>
      </c>
    </row>
    <row r="69">
      <c r="A69" s="2" t="s">
        <v>354</v>
      </c>
      <c r="B69" s="12">
        <f>'PLA Data'!B91</f>
        <v>20.98333333</v>
      </c>
      <c r="C69" s="12">
        <f>'ABS Data'!B57</f>
        <v>5.493333333</v>
      </c>
    </row>
    <row r="70">
      <c r="A70" s="2" t="s">
        <v>306</v>
      </c>
      <c r="B70" s="12">
        <f>'PLA Data'!B118</f>
        <v>4.235</v>
      </c>
      <c r="C70" s="12">
        <f>'ABS Data'!B67</f>
        <v>1.476666667</v>
      </c>
    </row>
    <row r="72">
      <c r="A72" s="2" t="s">
        <v>355</v>
      </c>
      <c r="B72" s="2" t="s">
        <v>356</v>
      </c>
      <c r="C72" s="2" t="s">
        <v>357</v>
      </c>
    </row>
    <row r="73">
      <c r="A73" s="50">
        <v>1.0</v>
      </c>
      <c r="B73" s="12">
        <f t="shared" ref="B73:C73" si="1">B65</f>
        <v>28.878</v>
      </c>
      <c r="C73" s="12">
        <f t="shared" si="1"/>
        <v>10.83833333</v>
      </c>
    </row>
    <row r="74">
      <c r="A74" s="50">
        <v>0.8</v>
      </c>
      <c r="B74" s="12">
        <f t="shared" ref="B74:C74" si="2">B66</f>
        <v>34.15</v>
      </c>
      <c r="C74" s="12">
        <f t="shared" si="2"/>
        <v>12.21833333</v>
      </c>
    </row>
    <row r="75">
      <c r="A75" s="50">
        <v>0.6</v>
      </c>
      <c r="B75" s="12">
        <f t="shared" ref="B75:C75" si="3">B67</f>
        <v>21.21166667</v>
      </c>
      <c r="C75" s="12">
        <f t="shared" si="3"/>
        <v>11.745</v>
      </c>
    </row>
    <row r="76">
      <c r="A76" s="50">
        <v>0.4</v>
      </c>
      <c r="B76" s="12">
        <f t="shared" ref="B76:C76" si="4">B68</f>
        <v>24.065</v>
      </c>
      <c r="C76" s="12">
        <f t="shared" si="4"/>
        <v>7.94</v>
      </c>
    </row>
    <row r="77">
      <c r="A77" s="50">
        <v>0.2</v>
      </c>
      <c r="B77" s="12">
        <f t="shared" ref="B77:C77" si="5">B69</f>
        <v>20.98333333</v>
      </c>
      <c r="C77" s="12">
        <f t="shared" si="5"/>
        <v>5.493333333</v>
      </c>
    </row>
    <row r="79">
      <c r="A79" s="2" t="s">
        <v>355</v>
      </c>
      <c r="B79" s="2" t="s">
        <v>358</v>
      </c>
      <c r="C79" s="2" t="s">
        <v>359</v>
      </c>
    </row>
    <row r="80">
      <c r="A80" s="50">
        <v>1.0</v>
      </c>
      <c r="B80" s="51">
        <f t="shared" ref="B80:B84" si="6">B73/$B$64</f>
        <v>0.8684642636</v>
      </c>
      <c r="C80" s="51">
        <f t="shared" ref="C80:C84" si="7">C73/$C$64</f>
        <v>0.3929305136</v>
      </c>
    </row>
    <row r="81">
      <c r="A81" s="50">
        <v>0.8</v>
      </c>
      <c r="B81" s="51">
        <f t="shared" si="6"/>
        <v>1.027012072</v>
      </c>
      <c r="C81" s="51">
        <f t="shared" si="7"/>
        <v>0.4429607251</v>
      </c>
    </row>
    <row r="82">
      <c r="A82" s="50">
        <v>0.6</v>
      </c>
      <c r="B82" s="51">
        <f t="shared" si="6"/>
        <v>0.6379103287</v>
      </c>
      <c r="C82" s="51">
        <f t="shared" si="7"/>
        <v>0.4258006042</v>
      </c>
    </row>
    <row r="83">
      <c r="A83" s="50">
        <v>0.4</v>
      </c>
      <c r="B83" s="51">
        <f t="shared" si="6"/>
        <v>0.7237202197</v>
      </c>
      <c r="C83" s="51">
        <f t="shared" si="7"/>
        <v>0.2878549849</v>
      </c>
    </row>
    <row r="84">
      <c r="A84" s="50">
        <v>0.2</v>
      </c>
      <c r="B84" s="51">
        <f t="shared" si="6"/>
        <v>0.6310435325</v>
      </c>
      <c r="C84" s="51">
        <f t="shared" si="7"/>
        <v>0.1991540785</v>
      </c>
    </row>
    <row r="100">
      <c r="B100" s="52" t="s">
        <v>331</v>
      </c>
    </row>
    <row r="101">
      <c r="A101" s="52" t="s">
        <v>332</v>
      </c>
      <c r="B101" s="52" t="s">
        <v>333</v>
      </c>
      <c r="C101" s="52" t="s">
        <v>334</v>
      </c>
      <c r="D101" s="52" t="s">
        <v>335</v>
      </c>
      <c r="E101" s="52" t="s">
        <v>336</v>
      </c>
      <c r="F101" s="52" t="s">
        <v>337</v>
      </c>
      <c r="G101" s="52" t="s">
        <v>338</v>
      </c>
    </row>
    <row r="102">
      <c r="A102" s="52">
        <v>0.2</v>
      </c>
      <c r="B102" s="12">
        <v>20.983333333333334</v>
      </c>
      <c r="G102" s="12">
        <v>26.011666666666667</v>
      </c>
    </row>
    <row r="103">
      <c r="A103" s="52">
        <v>0.4</v>
      </c>
      <c r="B103" s="12">
        <v>24.065</v>
      </c>
      <c r="C103" s="12">
        <v>24.886666666666667</v>
      </c>
      <c r="D103" s="12">
        <v>30.733333333333334</v>
      </c>
      <c r="E103" s="12">
        <v>27.078333333333333</v>
      </c>
      <c r="F103" s="12">
        <v>33.92999999999999</v>
      </c>
      <c r="G103" s="12">
        <v>27.133333333333336</v>
      </c>
    </row>
    <row r="104">
      <c r="A104" s="52">
        <v>0.6</v>
      </c>
      <c r="B104" s="12">
        <v>21.21166666666667</v>
      </c>
      <c r="C104" s="12">
        <v>39.76</v>
      </c>
      <c r="D104" s="12">
        <v>38.227999999999994</v>
      </c>
      <c r="E104" s="12">
        <v>40.755</v>
      </c>
      <c r="F104" s="12">
        <v>47.67166666666666</v>
      </c>
      <c r="G104" s="12">
        <v>45.29600000000001</v>
      </c>
    </row>
    <row r="105">
      <c r="A105" s="52">
        <v>0.8</v>
      </c>
      <c r="B105" s="12">
        <v>34.150000000000006</v>
      </c>
      <c r="C105" s="12">
        <v>21.768333333333334</v>
      </c>
      <c r="D105" s="12">
        <v>37.05166666666666</v>
      </c>
      <c r="E105" s="12">
        <v>28.565</v>
      </c>
      <c r="F105" s="12">
        <v>42.251666666666665</v>
      </c>
      <c r="G105" s="12">
        <v>40.63166666666667</v>
      </c>
    </row>
    <row r="106">
      <c r="A106" s="52">
        <v>1.0</v>
      </c>
      <c r="B106" s="12">
        <v>28.878000000000004</v>
      </c>
      <c r="G106" s="12">
        <v>43.4075</v>
      </c>
    </row>
    <row r="107">
      <c r="A107" s="53" t="s">
        <v>331</v>
      </c>
    </row>
    <row r="108">
      <c r="B108" s="38">
        <v>0.2</v>
      </c>
      <c r="C108" s="38">
        <v>0.4</v>
      </c>
      <c r="D108" s="38">
        <v>0.6</v>
      </c>
      <c r="E108" s="38">
        <v>0.8</v>
      </c>
      <c r="F108" s="38">
        <v>1.0</v>
      </c>
    </row>
    <row r="109">
      <c r="A109" s="2" t="s">
        <v>333</v>
      </c>
      <c r="B109" s="5">
        <v>20.983333333333334</v>
      </c>
      <c r="C109" s="5">
        <v>24.065</v>
      </c>
      <c r="D109" s="5">
        <v>21.21166666666667</v>
      </c>
      <c r="E109" s="5">
        <v>34.150000000000006</v>
      </c>
      <c r="F109" s="5">
        <v>28.878000000000004</v>
      </c>
    </row>
    <row r="110">
      <c r="A110" s="2" t="s">
        <v>338</v>
      </c>
      <c r="B110" s="5">
        <v>26.011666666666667</v>
      </c>
      <c r="C110" s="5">
        <v>27.133333333333336</v>
      </c>
      <c r="D110" s="5">
        <v>45.29600000000001</v>
      </c>
      <c r="E110" s="5">
        <v>40.63166666666667</v>
      </c>
      <c r="F110" s="5">
        <v>43.4075</v>
      </c>
    </row>
    <row r="111">
      <c r="A111" s="2" t="s">
        <v>334</v>
      </c>
      <c r="B111" s="5"/>
      <c r="C111" s="5">
        <v>24.886666666666667</v>
      </c>
      <c r="D111" s="5">
        <v>39.76</v>
      </c>
      <c r="E111" s="5">
        <v>21.768333333333334</v>
      </c>
      <c r="F111" s="5"/>
    </row>
    <row r="112">
      <c r="A112" s="2" t="s">
        <v>335</v>
      </c>
      <c r="B112" s="5"/>
      <c r="C112" s="5">
        <v>30.733333333333334</v>
      </c>
      <c r="D112" s="5">
        <v>34.82666666666667</v>
      </c>
      <c r="E112" s="5">
        <v>37.05166666666666</v>
      </c>
      <c r="F112" s="5"/>
    </row>
    <row r="113">
      <c r="A113" s="2" t="s">
        <v>336</v>
      </c>
      <c r="B113" s="5"/>
      <c r="C113" s="5">
        <v>27.078333333333333</v>
      </c>
      <c r="D113" s="5">
        <v>40.755</v>
      </c>
      <c r="E113" s="5">
        <v>28.565</v>
      </c>
      <c r="F113" s="5"/>
    </row>
    <row r="114">
      <c r="A114" s="2" t="s">
        <v>337</v>
      </c>
      <c r="B114" s="5"/>
      <c r="C114" s="5">
        <v>33.92999999999999</v>
      </c>
      <c r="D114" s="5">
        <v>47.67166666666666</v>
      </c>
      <c r="E114" s="5">
        <v>42.251666666666665</v>
      </c>
      <c r="F114" s="5"/>
    </row>
    <row r="117">
      <c r="B117" s="12" t="s">
        <v>331</v>
      </c>
    </row>
    <row r="118">
      <c r="A118" s="12" t="s">
        <v>332</v>
      </c>
      <c r="B118" s="12" t="s">
        <v>333</v>
      </c>
      <c r="C118" s="12" t="s">
        <v>334</v>
      </c>
      <c r="D118" s="12" t="s">
        <v>335</v>
      </c>
      <c r="E118" s="12" t="s">
        <v>336</v>
      </c>
      <c r="F118" s="12" t="s">
        <v>337</v>
      </c>
      <c r="G118" s="12" t="s">
        <v>338</v>
      </c>
    </row>
    <row r="119">
      <c r="A119" s="12">
        <v>0.2</v>
      </c>
      <c r="B119" s="12">
        <v>20.983333333333334</v>
      </c>
      <c r="G119" s="12">
        <v>26.011666666666667</v>
      </c>
    </row>
    <row r="120">
      <c r="A120" s="12">
        <v>0.4</v>
      </c>
      <c r="B120" s="12">
        <v>24.065</v>
      </c>
      <c r="C120" s="12">
        <v>24.886666666666667</v>
      </c>
      <c r="D120" s="12">
        <v>30.733333333333334</v>
      </c>
      <c r="E120" s="12">
        <v>27.078333333333333</v>
      </c>
      <c r="F120" s="12">
        <v>33.92999999999999</v>
      </c>
      <c r="G120" s="12">
        <v>27.133333333333336</v>
      </c>
    </row>
    <row r="121">
      <c r="A121" s="12">
        <v>0.6</v>
      </c>
      <c r="B121" s="12">
        <v>21.21166666666667</v>
      </c>
      <c r="C121" s="12">
        <v>39.76</v>
      </c>
      <c r="D121" s="12">
        <v>34.82666666666667</v>
      </c>
      <c r="E121" s="12">
        <v>40.755</v>
      </c>
      <c r="F121" s="12">
        <v>47.67166666666666</v>
      </c>
      <c r="G121" s="12">
        <v>45.29600000000001</v>
      </c>
    </row>
    <row r="122">
      <c r="A122" s="12">
        <v>0.8</v>
      </c>
      <c r="B122" s="12">
        <v>34.150000000000006</v>
      </c>
      <c r="C122" s="12">
        <v>21.768333333333334</v>
      </c>
      <c r="D122" s="12">
        <v>37.05166666666666</v>
      </c>
      <c r="E122" s="12">
        <v>28.565</v>
      </c>
      <c r="F122" s="12">
        <v>42.251666666666665</v>
      </c>
      <c r="G122" s="12">
        <v>40.63166666666667</v>
      </c>
    </row>
    <row r="123">
      <c r="A123" s="12">
        <v>1.0</v>
      </c>
      <c r="B123" s="12">
        <v>28.878000000000004</v>
      </c>
      <c r="G123" s="12">
        <v>43.4075</v>
      </c>
    </row>
    <row r="125">
      <c r="G125" s="44"/>
    </row>
    <row r="126">
      <c r="A126" s="2" t="s">
        <v>360</v>
      </c>
      <c r="B126" s="2" t="s">
        <v>331</v>
      </c>
      <c r="C126" s="2" t="s">
        <v>361</v>
      </c>
      <c r="E126" s="44"/>
      <c r="G126" s="44"/>
    </row>
    <row r="127">
      <c r="A127" s="2" t="s">
        <v>362</v>
      </c>
      <c r="B127" s="12">
        <v>20.983333333333334</v>
      </c>
      <c r="C127" s="2">
        <v>492.0</v>
      </c>
      <c r="E127" s="44"/>
      <c r="G127" s="44"/>
    </row>
    <row r="128">
      <c r="A128" s="2" t="s">
        <v>363</v>
      </c>
      <c r="B128" s="12">
        <v>24.065</v>
      </c>
      <c r="C128" s="54">
        <v>574.0</v>
      </c>
      <c r="F128" s="44"/>
      <c r="G128" s="44"/>
    </row>
    <row r="129">
      <c r="A129" s="2" t="s">
        <v>364</v>
      </c>
      <c r="B129" s="12">
        <v>21.21166666666667</v>
      </c>
      <c r="C129" s="2">
        <v>650.0</v>
      </c>
      <c r="G129" s="44"/>
    </row>
    <row r="130">
      <c r="A130" s="2" t="s">
        <v>365</v>
      </c>
      <c r="B130" s="12">
        <v>34.150000000000006</v>
      </c>
      <c r="C130" s="2">
        <v>721.0</v>
      </c>
    </row>
    <row r="131">
      <c r="A131" s="2" t="s">
        <v>366</v>
      </c>
      <c r="B131" s="12">
        <v>28.878000000000004</v>
      </c>
      <c r="C131" s="2">
        <v>784.0</v>
      </c>
    </row>
    <row r="132">
      <c r="A132" s="2" t="s">
        <v>367</v>
      </c>
      <c r="B132" s="12">
        <v>24.886666666666667</v>
      </c>
      <c r="C132" s="2">
        <v>793.0</v>
      </c>
    </row>
    <row r="133">
      <c r="A133" s="2" t="s">
        <v>368</v>
      </c>
      <c r="B133" s="12">
        <v>39.76</v>
      </c>
      <c r="C133" s="2">
        <v>997.0</v>
      </c>
    </row>
    <row r="134">
      <c r="A134" s="2" t="s">
        <v>369</v>
      </c>
      <c r="B134" s="12">
        <v>21.768333333333334</v>
      </c>
      <c r="C134" s="2">
        <v>1151.0</v>
      </c>
    </row>
    <row r="135">
      <c r="A135" s="2" t="s">
        <v>370</v>
      </c>
      <c r="B135" s="12">
        <v>27.078333333333333</v>
      </c>
      <c r="C135" s="2">
        <v>585.0</v>
      </c>
    </row>
    <row r="136">
      <c r="A136" s="2" t="s">
        <v>371</v>
      </c>
      <c r="B136" s="12">
        <v>40.755</v>
      </c>
      <c r="C136" s="2">
        <v>652.0</v>
      </c>
    </row>
    <row r="137">
      <c r="A137" s="2" t="s">
        <v>372</v>
      </c>
      <c r="B137" s="12">
        <v>28.565</v>
      </c>
      <c r="C137" s="2">
        <v>720.0</v>
      </c>
    </row>
    <row r="140">
      <c r="A140" s="52" t="s">
        <v>360</v>
      </c>
      <c r="B140" s="52" t="s">
        <v>331</v>
      </c>
      <c r="C140" s="52" t="s">
        <v>361</v>
      </c>
    </row>
    <row r="141">
      <c r="A141" s="2" t="s">
        <v>373</v>
      </c>
      <c r="B141" s="12">
        <v>26.011666666666667</v>
      </c>
      <c r="C141" s="52">
        <v>492.0</v>
      </c>
    </row>
    <row r="142">
      <c r="A142" s="2" t="s">
        <v>374</v>
      </c>
      <c r="B142" s="12">
        <v>27.133333333333336</v>
      </c>
      <c r="C142" s="52">
        <v>574.0</v>
      </c>
    </row>
    <row r="143">
      <c r="A143" s="2" t="s">
        <v>375</v>
      </c>
      <c r="B143" s="12">
        <v>45.29600000000001</v>
      </c>
      <c r="C143" s="52">
        <v>650.0</v>
      </c>
    </row>
    <row r="144">
      <c r="A144" s="2" t="s">
        <v>376</v>
      </c>
      <c r="B144" s="12">
        <v>40.63166666666667</v>
      </c>
      <c r="C144" s="52">
        <v>721.0</v>
      </c>
    </row>
    <row r="145">
      <c r="A145" s="2" t="s">
        <v>377</v>
      </c>
      <c r="B145" s="12">
        <v>43.4075</v>
      </c>
      <c r="C145" s="52">
        <v>784.0</v>
      </c>
    </row>
    <row r="146">
      <c r="A146" s="2" t="s">
        <v>378</v>
      </c>
      <c r="B146" s="12">
        <v>30.733333333333334</v>
      </c>
      <c r="C146" s="52">
        <v>793.0</v>
      </c>
    </row>
    <row r="147">
      <c r="A147" s="2" t="s">
        <v>379</v>
      </c>
      <c r="B147" s="12">
        <v>38.227999999999994</v>
      </c>
      <c r="C147" s="52">
        <v>997.0</v>
      </c>
    </row>
    <row r="148">
      <c r="A148" s="2" t="s">
        <v>380</v>
      </c>
      <c r="B148" s="12">
        <v>37.05166666666666</v>
      </c>
      <c r="C148" s="52">
        <v>1151.0</v>
      </c>
    </row>
    <row r="149">
      <c r="A149" s="2" t="s">
        <v>381</v>
      </c>
      <c r="B149" s="12">
        <v>33.92999999999999</v>
      </c>
      <c r="C149" s="52">
        <v>585.0</v>
      </c>
    </row>
    <row r="150">
      <c r="A150" s="2" t="s">
        <v>382</v>
      </c>
      <c r="B150" s="12">
        <v>47.67166666666666</v>
      </c>
      <c r="C150" s="52">
        <v>652.0</v>
      </c>
    </row>
    <row r="151">
      <c r="A151" s="2" t="s">
        <v>383</v>
      </c>
      <c r="B151" s="12">
        <v>42.251666666666665</v>
      </c>
      <c r="C151" s="52">
        <v>720.0</v>
      </c>
    </row>
    <row r="166">
      <c r="A166" s="52" t="s">
        <v>360</v>
      </c>
      <c r="B166" s="52" t="s">
        <v>331</v>
      </c>
      <c r="C166" s="52" t="s">
        <v>361</v>
      </c>
    </row>
    <row r="167">
      <c r="A167" s="52" t="s">
        <v>373</v>
      </c>
      <c r="B167" s="12">
        <v>26.011666666666667</v>
      </c>
      <c r="C167" s="52">
        <v>492.0</v>
      </c>
      <c r="D167" s="12">
        <f t="shared" ref="D167:D188" si="8">B167/C167</f>
        <v>0.05286924119</v>
      </c>
    </row>
    <row r="168">
      <c r="A168" s="52" t="s">
        <v>374</v>
      </c>
      <c r="B168" s="12">
        <v>27.133333333333336</v>
      </c>
      <c r="C168" s="52">
        <v>574.0</v>
      </c>
      <c r="D168" s="12">
        <f t="shared" si="8"/>
        <v>0.04727061556</v>
      </c>
    </row>
    <row r="169">
      <c r="A169" s="52" t="s">
        <v>375</v>
      </c>
      <c r="B169" s="12">
        <v>45.29600000000001</v>
      </c>
      <c r="C169" s="52">
        <v>650.0</v>
      </c>
      <c r="D169" s="12">
        <f t="shared" si="8"/>
        <v>0.06968615385</v>
      </c>
    </row>
    <row r="170">
      <c r="A170" s="52" t="s">
        <v>376</v>
      </c>
      <c r="B170" s="12">
        <v>40.63166666666667</v>
      </c>
      <c r="C170" s="52">
        <v>721.0</v>
      </c>
      <c r="D170" s="12">
        <f t="shared" si="8"/>
        <v>0.05635460009</v>
      </c>
    </row>
    <row r="171">
      <c r="A171" s="52" t="s">
        <v>377</v>
      </c>
      <c r="B171" s="12">
        <v>43.4075</v>
      </c>
      <c r="C171" s="52">
        <v>784.0</v>
      </c>
      <c r="D171" s="12">
        <f t="shared" si="8"/>
        <v>0.05536670918</v>
      </c>
    </row>
    <row r="172">
      <c r="A172" s="52" t="s">
        <v>378</v>
      </c>
      <c r="B172" s="12">
        <v>30.733333333333334</v>
      </c>
      <c r="C172" s="52">
        <v>793.0</v>
      </c>
      <c r="D172" s="12">
        <f t="shared" si="8"/>
        <v>0.03875577974</v>
      </c>
    </row>
    <row r="173">
      <c r="A173" s="52" t="s">
        <v>379</v>
      </c>
      <c r="B173" s="12">
        <v>38.227999999999994</v>
      </c>
      <c r="C173" s="52">
        <v>997.0</v>
      </c>
      <c r="D173" s="12">
        <f t="shared" si="8"/>
        <v>0.03834302909</v>
      </c>
    </row>
    <row r="174">
      <c r="A174" s="52" t="s">
        <v>380</v>
      </c>
      <c r="B174" s="12">
        <v>37.05166666666666</v>
      </c>
      <c r="C174" s="52">
        <v>1151.0</v>
      </c>
      <c r="D174" s="12">
        <f t="shared" si="8"/>
        <v>0.03219084854</v>
      </c>
    </row>
    <row r="175">
      <c r="A175" s="52" t="s">
        <v>381</v>
      </c>
      <c r="B175" s="12">
        <v>33.92999999999999</v>
      </c>
      <c r="C175" s="52">
        <v>585.0</v>
      </c>
      <c r="D175" s="12">
        <f t="shared" si="8"/>
        <v>0.058</v>
      </c>
    </row>
    <row r="176">
      <c r="A176" s="52" t="s">
        <v>382</v>
      </c>
      <c r="B176" s="12">
        <v>47.67166666666666</v>
      </c>
      <c r="C176" s="52">
        <v>652.0</v>
      </c>
      <c r="D176" s="12">
        <f t="shared" si="8"/>
        <v>0.07311605317</v>
      </c>
    </row>
    <row r="177">
      <c r="A177" s="52" t="s">
        <v>383</v>
      </c>
      <c r="B177" s="12">
        <v>42.251666666666665</v>
      </c>
      <c r="C177" s="52">
        <v>720.0</v>
      </c>
      <c r="D177" s="12">
        <f t="shared" si="8"/>
        <v>0.05868287037</v>
      </c>
    </row>
    <row r="178">
      <c r="A178" s="52" t="s">
        <v>362</v>
      </c>
      <c r="B178" s="12">
        <v>20.983333333333334</v>
      </c>
      <c r="C178" s="52">
        <v>492.0</v>
      </c>
      <c r="D178" s="12">
        <f t="shared" si="8"/>
        <v>0.04264905149</v>
      </c>
    </row>
    <row r="179">
      <c r="A179" s="52" t="s">
        <v>363</v>
      </c>
      <c r="B179" s="12">
        <v>24.065</v>
      </c>
      <c r="C179" s="52">
        <v>574.0</v>
      </c>
      <c r="D179" s="12">
        <f t="shared" si="8"/>
        <v>0.04192508711</v>
      </c>
    </row>
    <row r="180">
      <c r="A180" s="52" t="s">
        <v>364</v>
      </c>
      <c r="B180" s="12">
        <v>21.21166666666667</v>
      </c>
      <c r="C180" s="52">
        <v>650.0</v>
      </c>
      <c r="D180" s="12">
        <f t="shared" si="8"/>
        <v>0.03263333333</v>
      </c>
    </row>
    <row r="181">
      <c r="A181" s="52" t="s">
        <v>365</v>
      </c>
      <c r="B181" s="12">
        <v>34.150000000000006</v>
      </c>
      <c r="C181" s="52">
        <v>721.0</v>
      </c>
      <c r="D181" s="12">
        <f t="shared" si="8"/>
        <v>0.04736477115</v>
      </c>
    </row>
    <row r="182">
      <c r="A182" s="52" t="s">
        <v>366</v>
      </c>
      <c r="B182" s="12">
        <v>28.878000000000004</v>
      </c>
      <c r="C182" s="52">
        <v>784.0</v>
      </c>
      <c r="D182" s="12">
        <f t="shared" si="8"/>
        <v>0.03683418367</v>
      </c>
    </row>
    <row r="183">
      <c r="A183" s="52" t="s">
        <v>367</v>
      </c>
      <c r="B183" s="12">
        <v>24.886666666666667</v>
      </c>
      <c r="C183" s="52">
        <v>793.0</v>
      </c>
      <c r="D183" s="12">
        <f t="shared" si="8"/>
        <v>0.03138293401</v>
      </c>
    </row>
    <row r="184">
      <c r="A184" s="52" t="s">
        <v>368</v>
      </c>
      <c r="B184" s="12">
        <v>39.76</v>
      </c>
      <c r="C184" s="52">
        <v>997.0</v>
      </c>
      <c r="D184" s="12">
        <f t="shared" si="8"/>
        <v>0.03987963892</v>
      </c>
    </row>
    <row r="185">
      <c r="A185" s="52" t="s">
        <v>369</v>
      </c>
      <c r="B185" s="12">
        <v>21.768333333333334</v>
      </c>
      <c r="C185" s="52">
        <v>1151.0</v>
      </c>
      <c r="D185" s="12">
        <f t="shared" si="8"/>
        <v>0.01891253982</v>
      </c>
    </row>
    <row r="186">
      <c r="A186" s="52" t="s">
        <v>370</v>
      </c>
      <c r="B186" s="12">
        <v>27.078333333333333</v>
      </c>
      <c r="C186" s="52">
        <v>585.0</v>
      </c>
      <c r="D186" s="12">
        <f t="shared" si="8"/>
        <v>0.04628774929</v>
      </c>
    </row>
    <row r="187">
      <c r="A187" s="52" t="s">
        <v>371</v>
      </c>
      <c r="B187" s="12">
        <v>40.755</v>
      </c>
      <c r="C187" s="52">
        <v>652.0</v>
      </c>
      <c r="D187" s="12">
        <f t="shared" si="8"/>
        <v>0.06250766871</v>
      </c>
    </row>
    <row r="188">
      <c r="A188" s="52" t="s">
        <v>372</v>
      </c>
      <c r="B188" s="12">
        <v>28.565</v>
      </c>
      <c r="C188" s="52">
        <v>720.0</v>
      </c>
      <c r="D188" s="12">
        <f t="shared" si="8"/>
        <v>0.03967361111</v>
      </c>
    </row>
    <row r="190">
      <c r="A190" s="2" t="s">
        <v>360</v>
      </c>
      <c r="B190" s="2" t="s">
        <v>384</v>
      </c>
    </row>
    <row r="191">
      <c r="A191" s="52" t="s">
        <v>382</v>
      </c>
      <c r="B191" s="12">
        <v>0.07311605316973414</v>
      </c>
    </row>
    <row r="192">
      <c r="A192" s="52" t="s">
        <v>375</v>
      </c>
      <c r="B192" s="12">
        <v>0.06968615384615386</v>
      </c>
    </row>
    <row r="193">
      <c r="A193" s="52" t="s">
        <v>371</v>
      </c>
      <c r="B193" s="12">
        <v>0.06250766871165644</v>
      </c>
    </row>
    <row r="194">
      <c r="A194" s="52" t="s">
        <v>383</v>
      </c>
      <c r="B194" s="12">
        <v>0.05868287037037037</v>
      </c>
    </row>
    <row r="195">
      <c r="A195" s="52" t="s">
        <v>381</v>
      </c>
      <c r="B195" s="12">
        <v>0.05799999999999999</v>
      </c>
    </row>
    <row r="196">
      <c r="A196" s="52" t="s">
        <v>376</v>
      </c>
      <c r="B196" s="12">
        <v>0.05635460009246417</v>
      </c>
    </row>
    <row r="197">
      <c r="A197" s="52" t="s">
        <v>377</v>
      </c>
      <c r="B197" s="12">
        <v>0.055366709183673465</v>
      </c>
    </row>
    <row r="198">
      <c r="A198" s="52" t="s">
        <v>373</v>
      </c>
      <c r="B198" s="12">
        <v>0.052869241192411924</v>
      </c>
    </row>
    <row r="199">
      <c r="A199" s="52" t="s">
        <v>365</v>
      </c>
      <c r="B199" s="12">
        <v>0.047364771151178924</v>
      </c>
    </row>
    <row r="200">
      <c r="A200" s="52" t="s">
        <v>374</v>
      </c>
      <c r="B200" s="12">
        <v>0.04727061556329849</v>
      </c>
    </row>
    <row r="201">
      <c r="A201" s="52" t="s">
        <v>370</v>
      </c>
      <c r="B201" s="12">
        <v>0.046287749287749286</v>
      </c>
    </row>
    <row r="202">
      <c r="A202" s="52" t="s">
        <v>362</v>
      </c>
      <c r="B202" s="12">
        <v>0.04264905149051491</v>
      </c>
    </row>
    <row r="203">
      <c r="A203" s="52" t="s">
        <v>363</v>
      </c>
      <c r="B203" s="12">
        <v>0.04192508710801394</v>
      </c>
    </row>
    <row r="204">
      <c r="A204" s="52" t="s">
        <v>368</v>
      </c>
      <c r="B204" s="12">
        <v>0.03987963891675025</v>
      </c>
    </row>
    <row r="205">
      <c r="A205" s="52" t="s">
        <v>372</v>
      </c>
      <c r="B205" s="12">
        <v>0.03967361111111111</v>
      </c>
    </row>
    <row r="206">
      <c r="A206" s="52" t="s">
        <v>378</v>
      </c>
      <c r="B206" s="12">
        <v>0.0387557797393863</v>
      </c>
    </row>
    <row r="207">
      <c r="A207" s="52" t="s">
        <v>379</v>
      </c>
      <c r="B207" s="12">
        <v>0.03834302908726178</v>
      </c>
    </row>
    <row r="208">
      <c r="A208" s="52" t="s">
        <v>366</v>
      </c>
      <c r="B208" s="12">
        <v>0.03683418367346939</v>
      </c>
    </row>
    <row r="209">
      <c r="A209" s="52" t="s">
        <v>364</v>
      </c>
      <c r="B209" s="12">
        <v>0.03263333333333334</v>
      </c>
    </row>
    <row r="210">
      <c r="A210" s="52" t="s">
        <v>380</v>
      </c>
      <c r="B210" s="12">
        <v>0.03219084853750362</v>
      </c>
    </row>
    <row r="211">
      <c r="A211" s="52" t="s">
        <v>367</v>
      </c>
      <c r="B211" s="12">
        <v>0.03138293400588483</v>
      </c>
    </row>
    <row r="212">
      <c r="A212" s="52" t="s">
        <v>369</v>
      </c>
      <c r="B212" s="12">
        <v>0.01891253982044599</v>
      </c>
    </row>
  </sheetData>
  <mergeCells count="1">
    <mergeCell ref="A107:F107"/>
  </mergeCells>
  <drawing r:id="rId1"/>
  <tableParts count="4"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7.25"/>
    <col customWidth="1" min="4" max="4" width="19.13"/>
    <col customWidth="1" min="13" max="13" width="16.13"/>
    <col customWidth="1" min="14" max="14" width="16.75"/>
    <col customWidth="1" min="15" max="15" width="22.75"/>
    <col customWidth="1" min="16" max="16" width="16.0"/>
    <col customWidth="1" min="17" max="17" width="22.75"/>
  </cols>
  <sheetData>
    <row r="1">
      <c r="A1" s="55"/>
      <c r="B1" s="55"/>
      <c r="C1" s="55"/>
      <c r="D1" s="55"/>
      <c r="E1" s="55"/>
      <c r="F1" s="55"/>
      <c r="M1" s="56" t="s">
        <v>347</v>
      </c>
    </row>
    <row r="2">
      <c r="A2" s="55" t="s">
        <v>385</v>
      </c>
      <c r="M2" s="57"/>
      <c r="N2" s="57" t="s">
        <v>348</v>
      </c>
      <c r="O2" s="58" t="s">
        <v>386</v>
      </c>
      <c r="P2" s="57" t="s">
        <v>349</v>
      </c>
      <c r="Q2" s="58" t="s">
        <v>387</v>
      </c>
    </row>
    <row r="3">
      <c r="A3" s="59" t="s">
        <v>355</v>
      </c>
      <c r="B3" s="60">
        <v>0.2</v>
      </c>
      <c r="C3" s="60">
        <v>0.4</v>
      </c>
      <c r="D3" s="60">
        <v>0.6</v>
      </c>
      <c r="E3" s="60">
        <v>0.8</v>
      </c>
      <c r="F3" s="60">
        <v>1.0</v>
      </c>
      <c r="M3" s="52" t="s">
        <v>11</v>
      </c>
      <c r="N3" s="61">
        <v>33.2518</v>
      </c>
      <c r="O3" s="31"/>
      <c r="P3" s="61">
        <v>27.583333333333332</v>
      </c>
      <c r="Q3" s="62"/>
    </row>
    <row r="4">
      <c r="A4" s="2" t="s">
        <v>333</v>
      </c>
      <c r="B4" s="14">
        <v>20.983333333333334</v>
      </c>
      <c r="C4" s="14">
        <v>24.065</v>
      </c>
      <c r="D4" s="14">
        <v>21.21166666666667</v>
      </c>
      <c r="E4" s="14">
        <v>34.150000000000006</v>
      </c>
      <c r="F4" s="14">
        <v>28.878000000000004</v>
      </c>
      <c r="M4" s="63" t="s">
        <v>350</v>
      </c>
      <c r="N4" s="64">
        <v>28.878000000000004</v>
      </c>
      <c r="O4" s="65">
        <v>0.8684642635887381</v>
      </c>
      <c r="P4" s="64">
        <v>10.838333333333333</v>
      </c>
      <c r="Q4" s="65">
        <v>0.3929305135951662</v>
      </c>
    </row>
    <row r="5">
      <c r="A5" s="66" t="s">
        <v>338</v>
      </c>
      <c r="B5" s="67">
        <v>26.011666666666667</v>
      </c>
      <c r="C5" s="67">
        <v>27.133333333333336</v>
      </c>
      <c r="D5" s="67">
        <v>45.29600000000001</v>
      </c>
      <c r="E5" s="67">
        <v>40.63166666666667</v>
      </c>
      <c r="F5" s="67">
        <v>43.4075</v>
      </c>
      <c r="M5" s="52" t="s">
        <v>351</v>
      </c>
      <c r="N5" s="61">
        <v>34.150000000000006</v>
      </c>
      <c r="O5" s="62">
        <v>1.027012071526955</v>
      </c>
      <c r="P5" s="61">
        <v>12.218333333333334</v>
      </c>
      <c r="Q5" s="62">
        <v>0.44296072507552875</v>
      </c>
    </row>
    <row r="6">
      <c r="A6" s="2" t="s">
        <v>334</v>
      </c>
      <c r="B6" s="14"/>
      <c r="C6" s="14">
        <v>24.886666666666667</v>
      </c>
      <c r="D6" s="14">
        <v>39.76</v>
      </c>
      <c r="E6" s="14">
        <v>21.768333333333334</v>
      </c>
      <c r="F6" s="14"/>
      <c r="M6" s="63" t="s">
        <v>352</v>
      </c>
      <c r="N6" s="64">
        <v>21.21166666666667</v>
      </c>
      <c r="O6" s="65">
        <v>0.637910328663912</v>
      </c>
      <c r="P6" s="64">
        <v>11.745</v>
      </c>
      <c r="Q6" s="65">
        <v>0.42580060422960725</v>
      </c>
    </row>
    <row r="7">
      <c r="A7" s="66" t="s">
        <v>335</v>
      </c>
      <c r="B7" s="67"/>
      <c r="C7" s="67">
        <v>30.733333333333334</v>
      </c>
      <c r="D7" s="67">
        <v>38.227999999999994</v>
      </c>
      <c r="E7" s="67">
        <v>37.05166666666666</v>
      </c>
      <c r="F7" s="67"/>
      <c r="M7" s="52" t="s">
        <v>353</v>
      </c>
      <c r="N7" s="61">
        <v>24.065</v>
      </c>
      <c r="O7" s="62">
        <v>0.7237202196572817</v>
      </c>
      <c r="P7" s="61">
        <v>7.94</v>
      </c>
      <c r="Q7" s="62">
        <v>0.28785498489425987</v>
      </c>
    </row>
    <row r="8">
      <c r="A8" s="2" t="s">
        <v>336</v>
      </c>
      <c r="B8" s="14"/>
      <c r="C8" s="14">
        <v>27.078333333333333</v>
      </c>
      <c r="D8" s="14">
        <v>40.755</v>
      </c>
      <c r="E8" s="14">
        <v>28.565</v>
      </c>
      <c r="F8" s="14"/>
      <c r="M8" s="63" t="s">
        <v>354</v>
      </c>
      <c r="N8" s="64">
        <v>20.983333333333334</v>
      </c>
      <c r="O8" s="65">
        <v>0.6310435324804472</v>
      </c>
      <c r="P8" s="64">
        <v>5.493333333333333</v>
      </c>
      <c r="Q8" s="65">
        <v>0.19915407854984896</v>
      </c>
    </row>
    <row r="9">
      <c r="A9" s="66" t="s">
        <v>337</v>
      </c>
      <c r="B9" s="67"/>
      <c r="C9" s="67">
        <v>33.92999999999999</v>
      </c>
      <c r="D9" s="67">
        <v>47.67166666666666</v>
      </c>
      <c r="E9" s="67">
        <v>42.251666666666665</v>
      </c>
      <c r="F9" s="67"/>
      <c r="M9" s="52" t="s">
        <v>306</v>
      </c>
      <c r="N9" s="68">
        <v>4.235</v>
      </c>
      <c r="O9" s="62">
        <f>N9/N3</f>
        <v>0.1273615263</v>
      </c>
      <c r="P9" s="68">
        <v>1.4766666666666666</v>
      </c>
      <c r="Q9" s="62">
        <f>P9/P3</f>
        <v>0.0535347432</v>
      </c>
    </row>
    <row r="11">
      <c r="A11" s="55" t="s">
        <v>388</v>
      </c>
    </row>
    <row r="12">
      <c r="A12" s="39"/>
      <c r="B12" s="39" t="s">
        <v>315</v>
      </c>
      <c r="C12" s="39" t="s">
        <v>316</v>
      </c>
      <c r="D12" s="39" t="s">
        <v>317</v>
      </c>
      <c r="E12" s="39" t="s">
        <v>318</v>
      </c>
      <c r="F12" s="39" t="s">
        <v>319</v>
      </c>
      <c r="G12" s="39" t="s">
        <v>320</v>
      </c>
      <c r="H12" s="39" t="s">
        <v>321</v>
      </c>
      <c r="I12" s="39" t="s">
        <v>322</v>
      </c>
      <c r="J12" s="39" t="s">
        <v>323</v>
      </c>
    </row>
    <row r="13">
      <c r="A13" s="2" t="s">
        <v>325</v>
      </c>
      <c r="B13" s="40">
        <f>MIN('PLA Data'!$B$28:$B$33)</f>
        <v>32.88</v>
      </c>
      <c r="C13" s="40">
        <f>QUARTILE('PLA Data'!$B$28:$B$33,1)</f>
        <v>42.7575</v>
      </c>
      <c r="D13" s="40">
        <f>QUARTILE('PLA Data'!$B$28:$B$33,2)</f>
        <v>43.365</v>
      </c>
      <c r="E13" s="40">
        <f>QUARTILE('PLA Data'!$B$28:$B$33,3)</f>
        <v>44.1</v>
      </c>
      <c r="F13" s="40">
        <f>MAX('PLA Data'!$B$28:$B$33)</f>
        <v>55.6</v>
      </c>
      <c r="G13" s="41">
        <f>AVERAGE('PLA Data'!$B$28:$B$33)</f>
        <v>43.685</v>
      </c>
      <c r="H13" s="41">
        <f>STDEV('PLA Data'!$B$28:$B$33)</f>
        <v>7.217655436</v>
      </c>
      <c r="I13" s="41">
        <f>AVERAGE('PLA Data'!$C$28:$C$33)</f>
        <v>68.567976</v>
      </c>
      <c r="J13" s="41">
        <f>STDEV('PLA Data'!$C$28:$C$33)</f>
        <v>11.32883197</v>
      </c>
    </row>
    <row r="14">
      <c r="A14" s="39" t="s">
        <v>326</v>
      </c>
      <c r="B14" s="40">
        <f>MIN('PLA Data'!$B$283:$B$288)</f>
        <v>35.43</v>
      </c>
      <c r="C14" s="40">
        <f>QUARTILE('PLA Data'!$B$283:$B$288,1)</f>
        <v>36.78</v>
      </c>
      <c r="D14" s="40">
        <f>QUARTILE('PLA Data'!$B$283:$B$288,2)</f>
        <v>44.535</v>
      </c>
      <c r="E14" s="40">
        <f>QUARTILE('PLA Data'!$B$283:$B$288,3)</f>
        <v>52.065</v>
      </c>
      <c r="F14" s="40">
        <f>MAX('PLA Data'!$B$283:$B$288)</f>
        <v>53.04</v>
      </c>
      <c r="G14" s="41">
        <f>AVERAGE('PLA Data'!$B$283:$B$288)</f>
        <v>44.385</v>
      </c>
      <c r="H14" s="41">
        <f>STDEV('PLA Data'!$B$283:$B$288)</f>
        <v>8.521790305</v>
      </c>
      <c r="I14" s="41">
        <f>AVERAGE('PLA Data'!$C$283:$C$288)</f>
        <v>69.666696</v>
      </c>
      <c r="J14" s="41">
        <f>STDEV('PLA Data'!$C$283:$C$288)</f>
        <v>13.37580206</v>
      </c>
    </row>
    <row r="15">
      <c r="A15" s="39" t="s">
        <v>11</v>
      </c>
      <c r="B15" s="40">
        <f>MIN('PLA Data'!$B$2:$B$6)</f>
        <v>34.6</v>
      </c>
      <c r="C15" s="40">
        <f>QUARTILE('PLA Data'!$B$2:$B$6,1)</f>
        <v>35.04</v>
      </c>
      <c r="D15" s="40">
        <f>QUARTILE('PLA Data'!$B$2:$B$6,2)</f>
        <v>35.23</v>
      </c>
      <c r="E15" s="40">
        <f>QUARTILE('PLA Data'!$B$2:$B$6,3)</f>
        <v>35.31</v>
      </c>
      <c r="F15" s="40">
        <f>MAX('PLA Data'!$B$2:$B$6)</f>
        <v>36.01</v>
      </c>
      <c r="G15" s="41">
        <f>AVERAGE('PLA Data'!B$2:B$6)</f>
        <v>35.238</v>
      </c>
      <c r="H15" s="41">
        <f>STDEV('PLA Data'!$B$2:$B$6)</f>
        <v>0.5117323519</v>
      </c>
      <c r="I15" s="41">
        <f>AVERAGE('PLA Data'!$C$2:$C$6)</f>
        <v>55.3095648</v>
      </c>
      <c r="J15" s="41">
        <f>STDEV('PLA Data'!$C$2:$C$6)</f>
        <v>0.8032150996</v>
      </c>
    </row>
    <row r="16">
      <c r="A16" s="39" t="s">
        <v>327</v>
      </c>
      <c r="B16" s="40">
        <f>MIN('PLA Data'!$B$273:$B$278)</f>
        <v>30.18</v>
      </c>
      <c r="C16" s="40">
        <f>QUARTILE('PLA Data'!$B$273:$B$278,1)</f>
        <v>30.54</v>
      </c>
      <c r="D16" s="40">
        <f>QUARTILE('PLA Data'!$B$273:$B$278,2)</f>
        <v>31.055</v>
      </c>
      <c r="E16" s="40">
        <f>QUARTILE('PLA Data'!$B$273:$B$278,3)</f>
        <v>32.02</v>
      </c>
      <c r="F16" s="40">
        <f>MAX('PLA Data'!$B$273:$B$278)</f>
        <v>33.11</v>
      </c>
      <c r="G16" s="41">
        <f>AVERAGE('PLA Data'!$B$273:$B$278)</f>
        <v>31.35166667</v>
      </c>
      <c r="H16" s="41">
        <f>STDEV('PLA Data'!$B$273:$B$278)</f>
        <v>1.135700958</v>
      </c>
      <c r="I16" s="41">
        <f>AVERAGE('PLA Data'!$C$273:$C$278)</f>
        <v>49.209576</v>
      </c>
      <c r="J16" s="41">
        <f>STDEV('PLA Data'!$C$273:$C$278)</f>
        <v>1.782596224</v>
      </c>
    </row>
    <row r="17">
      <c r="A17" s="39" t="s">
        <v>328</v>
      </c>
      <c r="B17" s="40">
        <f>MIN('PLA Data'!$B$18:$B$22)</f>
        <v>26.63</v>
      </c>
      <c r="C17" s="40">
        <f>QUARTILE('PLA Data'!$B$18:$B$22,1)</f>
        <v>26.91</v>
      </c>
      <c r="D17" s="40">
        <f>QUARTILE('PLA Data'!$B$18:$B$22,2)</f>
        <v>29.59</v>
      </c>
      <c r="E17" s="40">
        <f>QUARTILE('PLA Data'!$B$18:$B$22,3)</f>
        <v>29.89</v>
      </c>
      <c r="F17" s="40">
        <f>MAX('PLA Data'!$B$18:$B$22)</f>
        <v>31.37</v>
      </c>
      <c r="G17" s="41">
        <f>AVERAGE('PLA Data'!B$18:B$22)</f>
        <v>28.878</v>
      </c>
      <c r="H17" s="41">
        <f>STDEV('PLA Data'!$B$18:$B$22)</f>
        <v>2.041303505</v>
      </c>
      <c r="I17" s="41">
        <f>AVERAGE('PLA Data'!$C$18:$C$22)</f>
        <v>45.3269088</v>
      </c>
      <c r="J17" s="41">
        <f>STDEV('PLA Data'!$C$18:$C$22)</f>
        <v>3.204029982</v>
      </c>
    </row>
    <row r="18">
      <c r="A18" s="39" t="s">
        <v>329</v>
      </c>
      <c r="B18" s="40">
        <f>MIN('PLA Data'!$B$255:$B$260)</f>
        <v>23.87</v>
      </c>
      <c r="C18" s="40">
        <f>QUARTILE('PLA Data'!$B$255:$B$260,1)</f>
        <v>26.31</v>
      </c>
      <c r="D18" s="40">
        <f>QUARTILE('PLA Data'!$B$255:$B$260,2)</f>
        <v>26.985</v>
      </c>
      <c r="E18" s="40">
        <f>QUARTILE('PLA Data'!$B$255:$B$260,3)</f>
        <v>27.3</v>
      </c>
      <c r="F18" s="40">
        <f>MAX('PLA Data'!$B$255:$B$260)</f>
        <v>27.77</v>
      </c>
      <c r="G18" s="41">
        <f>AVERAGE('PLA Data'!$B$255:$B$260)</f>
        <v>26.51666667</v>
      </c>
      <c r="H18" s="41">
        <f>STDEV('PLA Data'!$B$255:$B$260)</f>
        <v>1.407318964</v>
      </c>
      <c r="I18" s="41">
        <f>AVERAGE('PLA Data'!$C$255:$C$260)</f>
        <v>53.413052</v>
      </c>
      <c r="J18" s="41">
        <f>STDEV('PLA Data'!$C$255:$C$260)</f>
        <v>2.834790736</v>
      </c>
    </row>
    <row r="19">
      <c r="A19" s="39" t="s">
        <v>330</v>
      </c>
      <c r="B19" s="40">
        <f>MIN('PLA Data'!$B$112:$B$116)</f>
        <v>3.57</v>
      </c>
      <c r="C19" s="40">
        <f>QUARTILE('PLA Data'!$B$112:$B$116,1)</f>
        <v>3.83</v>
      </c>
      <c r="D19" s="40">
        <f>QUARTILE('PLA Data'!$B$112:$B$116,2)</f>
        <v>4.22</v>
      </c>
      <c r="E19" s="40">
        <f>QUARTILE('PLA Data'!$B$112:$B$116,3)</f>
        <v>4.57</v>
      </c>
      <c r="F19" s="40">
        <f>MAX('PLA Data'!$B$112:$B$116)</f>
        <v>4.87</v>
      </c>
      <c r="G19" s="41">
        <f>AVERAGE('PLA Data'!B$112:B$116)</f>
        <v>4.212</v>
      </c>
      <c r="H19" s="41">
        <f>STDEV('PLA Data'!$B$112:$B$116)</f>
        <v>0.5289801509</v>
      </c>
      <c r="I19" s="41">
        <f>AVERAGE('PLA Data'!$C$112:$C$116)</f>
        <v>73.45728</v>
      </c>
      <c r="J19" s="41">
        <f>STDEV('PLA Data'!$C$112:$C$116)</f>
        <v>9.225413831</v>
      </c>
    </row>
    <row r="22">
      <c r="A22" s="55" t="s">
        <v>388</v>
      </c>
      <c r="F22" s="55"/>
      <c r="G22" s="55"/>
      <c r="H22" s="55"/>
      <c r="I22" s="55"/>
      <c r="J22" s="55"/>
    </row>
    <row r="23">
      <c r="A23" s="39"/>
      <c r="B23" s="69" t="s">
        <v>320</v>
      </c>
      <c r="C23" s="69" t="s">
        <v>321</v>
      </c>
      <c r="D23" s="69" t="s">
        <v>322</v>
      </c>
      <c r="E23" s="69" t="s">
        <v>323</v>
      </c>
      <c r="F23" s="39"/>
      <c r="G23" s="39"/>
      <c r="H23" s="39"/>
      <c r="I23" s="39"/>
      <c r="J23" s="39"/>
    </row>
    <row r="24">
      <c r="A24" s="2" t="s">
        <v>325</v>
      </c>
      <c r="B24" s="70">
        <v>43.685</v>
      </c>
      <c r="C24" s="70">
        <v>7.217655436497366</v>
      </c>
      <c r="D24" s="70">
        <v>68.56797600000002</v>
      </c>
      <c r="E24" s="70">
        <v>11.328831973126267</v>
      </c>
      <c r="F24" s="40"/>
      <c r="G24" s="41"/>
      <c r="H24" s="41"/>
      <c r="I24" s="41"/>
      <c r="J24" s="41"/>
    </row>
    <row r="25">
      <c r="A25" s="39" t="s">
        <v>326</v>
      </c>
      <c r="B25" s="70">
        <v>44.385</v>
      </c>
      <c r="C25" s="70">
        <v>8.521790304859655</v>
      </c>
      <c r="D25" s="70">
        <v>69.66669600000002</v>
      </c>
      <c r="E25" s="70">
        <v>13.375802062507711</v>
      </c>
      <c r="F25" s="40"/>
      <c r="G25" s="41"/>
      <c r="H25" s="41"/>
      <c r="I25" s="41"/>
      <c r="J25" s="41"/>
    </row>
    <row r="26">
      <c r="A26" s="39" t="s">
        <v>11</v>
      </c>
      <c r="B26" s="70">
        <v>35.238</v>
      </c>
      <c r="C26" s="70">
        <v>0.5117323519184596</v>
      </c>
      <c r="D26" s="70">
        <v>55.30956480000001</v>
      </c>
      <c r="E26" s="70">
        <v>0.8032150995712163</v>
      </c>
      <c r="F26" s="40"/>
      <c r="G26" s="41"/>
      <c r="H26" s="41"/>
      <c r="I26" s="41"/>
      <c r="J26" s="41"/>
    </row>
    <row r="27">
      <c r="A27" s="39" t="s">
        <v>327</v>
      </c>
      <c r="B27" s="70">
        <v>31.351666666666663</v>
      </c>
      <c r="C27" s="70">
        <v>1.1357009582925714</v>
      </c>
      <c r="D27" s="70">
        <v>49.209576000000006</v>
      </c>
      <c r="E27" s="70">
        <v>1.7825962241360238</v>
      </c>
      <c r="F27" s="40"/>
      <c r="G27" s="41"/>
      <c r="H27" s="41"/>
      <c r="I27" s="41"/>
      <c r="J27" s="41"/>
    </row>
    <row r="28">
      <c r="A28" s="39" t="s">
        <v>328</v>
      </c>
      <c r="B28" s="70">
        <v>28.878000000000004</v>
      </c>
      <c r="C28" s="70">
        <v>2.0413035051162782</v>
      </c>
      <c r="D28" s="70">
        <v>45.3269088</v>
      </c>
      <c r="E28" s="70">
        <v>3.2040299816305087</v>
      </c>
      <c r="F28" s="40"/>
      <c r="G28" s="41"/>
      <c r="H28" s="41"/>
      <c r="I28" s="41"/>
      <c r="J28" s="41"/>
    </row>
    <row r="29">
      <c r="A29" s="39" t="s">
        <v>329</v>
      </c>
      <c r="B29" s="70">
        <v>26.51666666666667</v>
      </c>
      <c r="C29" s="70">
        <v>1.4073189640826504</v>
      </c>
      <c r="D29" s="70">
        <v>53.413052000000015</v>
      </c>
      <c r="E29" s="70">
        <v>2.8347907357309663</v>
      </c>
      <c r="F29" s="40"/>
      <c r="G29" s="41"/>
      <c r="H29" s="41"/>
      <c r="I29" s="41"/>
      <c r="J29" s="41"/>
    </row>
    <row r="30">
      <c r="A30" s="39" t="s">
        <v>330</v>
      </c>
      <c r="B30" s="70">
        <v>4.212000000000001</v>
      </c>
      <c r="C30" s="70">
        <v>0.5289801508563438</v>
      </c>
      <c r="D30" s="70">
        <v>73.45728</v>
      </c>
      <c r="E30" s="70">
        <v>9.225413830934635</v>
      </c>
      <c r="F30" s="40"/>
      <c r="G30" s="41"/>
      <c r="H30" s="41"/>
      <c r="I30" s="41"/>
      <c r="J30" s="41"/>
    </row>
    <row r="33">
      <c r="A33" s="55"/>
      <c r="B33" s="55"/>
      <c r="C33" s="55"/>
      <c r="D33" s="55"/>
      <c r="E33" s="55"/>
      <c r="F33" s="55"/>
    </row>
    <row r="34">
      <c r="A34" s="55" t="s">
        <v>389</v>
      </c>
    </row>
    <row r="35">
      <c r="A35" s="59" t="s">
        <v>355</v>
      </c>
      <c r="B35" s="60">
        <v>0.2</v>
      </c>
      <c r="C35" s="60">
        <v>0.4</v>
      </c>
      <c r="D35" s="60">
        <v>0.6</v>
      </c>
      <c r="E35" s="60">
        <v>0.8</v>
      </c>
      <c r="F35" s="60">
        <v>1.0</v>
      </c>
      <c r="I35" s="12">
        <v>38.227999999999994</v>
      </c>
    </row>
    <row r="36">
      <c r="A36" s="2" t="s">
        <v>333</v>
      </c>
      <c r="B36" s="71">
        <f>20.9833333333333/33.2518</f>
        <v>0.6310435325</v>
      </c>
      <c r="C36" s="62">
        <f>24.065/33.2518</f>
        <v>0.7237202197</v>
      </c>
      <c r="D36" s="62">
        <f>21.2116666666667/33.2518</f>
        <v>0.6379103287</v>
      </c>
      <c r="E36" s="62">
        <f>34.15/33.2518</f>
        <v>1.027012072</v>
      </c>
      <c r="F36" s="62">
        <f>28.878/33.2518</f>
        <v>0.8684642636</v>
      </c>
    </row>
    <row r="37">
      <c r="A37" s="66" t="s">
        <v>338</v>
      </c>
      <c r="B37" s="72">
        <f>26.0116666666667/33.2518</f>
        <v>0.7822634163</v>
      </c>
      <c r="C37" s="72">
        <f>27.1333333333333/33.2518</f>
        <v>0.815995926</v>
      </c>
      <c r="D37" s="72">
        <f>45.296/33.2518</f>
        <v>1.36221197</v>
      </c>
      <c r="E37" s="72">
        <f>40.6316666666667/33.2518</f>
        <v>1.221938862</v>
      </c>
      <c r="F37" s="72">
        <f>43.4075/33.2518</f>
        <v>1.305418053</v>
      </c>
    </row>
    <row r="38">
      <c r="A38" s="2" t="s">
        <v>334</v>
      </c>
      <c r="B38" s="62"/>
      <c r="C38" s="62">
        <f>24.8866666666667/33.2518</f>
        <v>0.7484306614</v>
      </c>
      <c r="D38" s="62">
        <f>39.76/33.2518</f>
        <v>1.195724743</v>
      </c>
      <c r="E38" s="62">
        <f>21.7683333333333/33.2518</f>
        <v>0.654651277</v>
      </c>
      <c r="F38" s="62"/>
    </row>
    <row r="39">
      <c r="A39" s="66" t="s">
        <v>335</v>
      </c>
      <c r="B39" s="72"/>
      <c r="C39" s="72">
        <f>30.7333333333333/33.2518</f>
        <v>0.9242607418</v>
      </c>
      <c r="D39" s="72">
        <f>38.228/33.2518</f>
        <v>1.149652049</v>
      </c>
      <c r="E39" s="72">
        <f>37.0516666666667/33.2518</f>
        <v>1.114275518</v>
      </c>
      <c r="F39" s="72"/>
    </row>
    <row r="40">
      <c r="A40" s="2" t="s">
        <v>336</v>
      </c>
      <c r="B40" s="62"/>
      <c r="C40" s="62">
        <f>27.0783333333333/33.2518</f>
        <v>0.8143418802</v>
      </c>
      <c r="D40" s="62">
        <f>40.755/33.2518</f>
        <v>1.225647935</v>
      </c>
      <c r="E40" s="62">
        <f>28.565/33.2518</f>
        <v>0.8590512393</v>
      </c>
      <c r="F40" s="62"/>
    </row>
    <row r="41">
      <c r="A41" s="66" t="s">
        <v>337</v>
      </c>
      <c r="B41" s="72"/>
      <c r="C41" s="72">
        <f>33.93/33.2518</f>
        <v>1.020395888</v>
      </c>
      <c r="D41" s="72">
        <f>47.6716666666667/33.2518</f>
        <v>1.433656724</v>
      </c>
      <c r="E41" s="72">
        <f>42.2516666666667/33.2518</f>
        <v>1.27065803</v>
      </c>
      <c r="F41" s="72"/>
    </row>
  </sheetData>
  <mergeCells count="5">
    <mergeCell ref="M1:Q1"/>
    <mergeCell ref="A2:F2"/>
    <mergeCell ref="A11:J11"/>
    <mergeCell ref="A22:E22"/>
    <mergeCell ref="A34:F34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38"/>
  </cols>
  <sheetData>
    <row r="1">
      <c r="A1" s="2" t="s">
        <v>390</v>
      </c>
    </row>
    <row r="2">
      <c r="A2" s="2" t="s">
        <v>391</v>
      </c>
      <c r="B2" s="2" t="s">
        <v>392</v>
      </c>
      <c r="C2" s="2" t="s">
        <v>393</v>
      </c>
      <c r="E2" s="2" t="s">
        <v>391</v>
      </c>
      <c r="F2" s="2" t="s">
        <v>392</v>
      </c>
      <c r="G2" s="2" t="s">
        <v>394</v>
      </c>
      <c r="I2" s="2" t="s">
        <v>392</v>
      </c>
      <c r="J2" s="2" t="s">
        <v>393</v>
      </c>
      <c r="K2" s="2" t="s">
        <v>394</v>
      </c>
      <c r="M2" s="2" t="s">
        <v>391</v>
      </c>
      <c r="N2" s="2" t="s">
        <v>393</v>
      </c>
      <c r="O2" s="2" t="s">
        <v>394</v>
      </c>
    </row>
    <row r="3">
      <c r="A3" s="2">
        <v>26.63</v>
      </c>
      <c r="B3" s="73">
        <v>35.04</v>
      </c>
      <c r="C3" s="2">
        <v>3.57</v>
      </c>
      <c r="E3" s="2">
        <v>26.63</v>
      </c>
      <c r="F3" s="73">
        <v>35.04</v>
      </c>
      <c r="G3" s="12">
        <f>_xlfn.T.TEST(E3:E7,F3:F8, 1, 3)</f>
        <v>0.0008088519844</v>
      </c>
      <c r="I3" s="73">
        <v>35.04</v>
      </c>
      <c r="J3" s="2">
        <v>3.57</v>
      </c>
      <c r="K3" s="12">
        <f>_xlfn.T.TEST(I3:I8,J3:J8, 1, 1)</f>
        <v>0.000000002291012027</v>
      </c>
      <c r="M3" s="2">
        <v>26.63</v>
      </c>
      <c r="N3" s="2">
        <v>3.57</v>
      </c>
      <c r="O3" s="12">
        <f>_xlfn.T.TEST(M3:M8,N3:N8, 1, 1)</f>
        <v>0.000004815497856</v>
      </c>
    </row>
    <row r="4">
      <c r="A4" s="2">
        <v>31.37</v>
      </c>
      <c r="B4" s="73">
        <v>34.6</v>
      </c>
      <c r="C4" s="2">
        <v>4.22</v>
      </c>
      <c r="E4" s="2">
        <v>31.37</v>
      </c>
      <c r="F4" s="73">
        <v>34.6</v>
      </c>
      <c r="I4" s="73">
        <v>34.6</v>
      </c>
      <c r="J4" s="2">
        <v>4.22</v>
      </c>
      <c r="M4" s="2">
        <v>31.37</v>
      </c>
      <c r="N4" s="2">
        <v>4.22</v>
      </c>
    </row>
    <row r="5">
      <c r="A5" s="2">
        <v>29.89</v>
      </c>
      <c r="B5" s="73">
        <v>36.01</v>
      </c>
      <c r="C5" s="2">
        <v>4.87</v>
      </c>
      <c r="E5" s="2">
        <v>29.89</v>
      </c>
      <c r="F5" s="73">
        <v>36.01</v>
      </c>
      <c r="I5" s="73">
        <v>36.01</v>
      </c>
      <c r="J5" s="2">
        <v>4.87</v>
      </c>
      <c r="M5" s="2">
        <v>29.89</v>
      </c>
      <c r="N5" s="2">
        <v>4.87</v>
      </c>
    </row>
    <row r="6">
      <c r="A6" s="2">
        <v>29.59</v>
      </c>
      <c r="B6" s="73">
        <v>35.31</v>
      </c>
      <c r="C6" s="2">
        <v>3.83</v>
      </c>
      <c r="E6" s="2">
        <v>29.59</v>
      </c>
      <c r="F6" s="73">
        <v>35.31</v>
      </c>
      <c r="I6" s="73">
        <v>35.31</v>
      </c>
      <c r="J6" s="2">
        <v>3.83</v>
      </c>
      <c r="M6" s="2">
        <v>29.59</v>
      </c>
      <c r="N6" s="2">
        <v>3.83</v>
      </c>
    </row>
    <row r="7">
      <c r="A7" s="2">
        <v>26.91</v>
      </c>
      <c r="B7" s="73">
        <v>35.23</v>
      </c>
      <c r="C7" s="2">
        <v>4.57</v>
      </c>
      <c r="E7" s="2">
        <v>26.91</v>
      </c>
      <c r="F7" s="73">
        <v>35.23</v>
      </c>
      <c r="I7" s="73">
        <v>35.23</v>
      </c>
      <c r="J7" s="2">
        <v>4.57</v>
      </c>
      <c r="M7" s="2">
        <v>26.91</v>
      </c>
      <c r="N7" s="2">
        <v>4.57</v>
      </c>
    </row>
    <row r="8">
      <c r="B8" s="73">
        <v>33.46</v>
      </c>
      <c r="C8" s="2">
        <v>4.35</v>
      </c>
      <c r="F8" s="73"/>
      <c r="I8" s="73">
        <v>33.46</v>
      </c>
      <c r="J8" s="2">
        <v>4.35</v>
      </c>
    </row>
    <row r="10">
      <c r="A10" s="2" t="s">
        <v>395</v>
      </c>
      <c r="B10" s="2" t="s">
        <v>396</v>
      </c>
      <c r="C10" s="2" t="s">
        <v>397</v>
      </c>
      <c r="E10" s="2" t="s">
        <v>395</v>
      </c>
      <c r="F10" s="2" t="s">
        <v>396</v>
      </c>
      <c r="G10" s="2" t="s">
        <v>394</v>
      </c>
      <c r="I10" s="2" t="s">
        <v>396</v>
      </c>
      <c r="J10" s="2" t="s">
        <v>397</v>
      </c>
      <c r="K10" s="2" t="s">
        <v>394</v>
      </c>
      <c r="M10" s="2" t="s">
        <v>395</v>
      </c>
      <c r="N10" s="2" t="s">
        <v>397</v>
      </c>
      <c r="O10" s="2" t="s">
        <v>394</v>
      </c>
    </row>
    <row r="11">
      <c r="A11" s="2">
        <v>31.51</v>
      </c>
      <c r="B11" s="73">
        <v>35.04</v>
      </c>
      <c r="C11" s="2">
        <v>26.79</v>
      </c>
      <c r="E11" s="2">
        <v>31.51</v>
      </c>
      <c r="F11" s="73">
        <v>35.04</v>
      </c>
      <c r="G11" s="12">
        <f>_xlfn.T.TEST(E11:E16,F11:F16, 1, 1)</f>
        <v>0.0008315197646</v>
      </c>
      <c r="I11" s="73">
        <v>35.04</v>
      </c>
      <c r="J11" s="2">
        <v>26.79</v>
      </c>
      <c r="K11" s="12">
        <f>_xlfn.T.TEST(I11:I16,J11:J16, 1, 1)</f>
        <v>0.00005504606676</v>
      </c>
      <c r="M11" s="2">
        <v>31.51</v>
      </c>
      <c r="N11" s="2">
        <v>26.79</v>
      </c>
      <c r="O11" s="12">
        <f>_xlfn.T.TEST(M11:M16,N11:N16, 1, 1)</f>
        <v>0.002032150667</v>
      </c>
    </row>
    <row r="12">
      <c r="A12" s="2">
        <v>32.19</v>
      </c>
      <c r="B12" s="73">
        <v>34.6</v>
      </c>
      <c r="C12" s="2">
        <v>27.18</v>
      </c>
      <c r="E12" s="2">
        <v>32.19</v>
      </c>
      <c r="F12" s="73">
        <v>34.6</v>
      </c>
      <c r="I12" s="73">
        <v>34.6</v>
      </c>
      <c r="J12" s="2">
        <v>27.18</v>
      </c>
      <c r="M12" s="2">
        <v>32.19</v>
      </c>
      <c r="N12" s="2">
        <v>27.18</v>
      </c>
    </row>
    <row r="13">
      <c r="A13" s="2">
        <v>30.18</v>
      </c>
      <c r="B13" s="73">
        <v>36.01</v>
      </c>
      <c r="C13" s="2">
        <v>27.34</v>
      </c>
      <c r="E13" s="2">
        <v>30.18</v>
      </c>
      <c r="F13" s="73">
        <v>36.01</v>
      </c>
      <c r="I13" s="73">
        <v>36.01</v>
      </c>
      <c r="J13" s="2">
        <v>27.34</v>
      </c>
      <c r="M13" s="2">
        <v>30.18</v>
      </c>
      <c r="N13" s="2">
        <v>27.34</v>
      </c>
    </row>
    <row r="14">
      <c r="A14" s="2">
        <v>30.6</v>
      </c>
      <c r="B14" s="73">
        <v>35.31</v>
      </c>
      <c r="C14" s="2">
        <v>26.15</v>
      </c>
      <c r="E14" s="2">
        <v>30.6</v>
      </c>
      <c r="F14" s="73">
        <v>35.31</v>
      </c>
      <c r="I14" s="73">
        <v>35.31</v>
      </c>
      <c r="J14" s="2">
        <v>26.15</v>
      </c>
      <c r="M14" s="2">
        <v>30.6</v>
      </c>
      <c r="N14" s="2">
        <v>26.15</v>
      </c>
    </row>
    <row r="15">
      <c r="A15" s="2">
        <v>33.11</v>
      </c>
      <c r="B15" s="73">
        <v>35.23</v>
      </c>
      <c r="C15" s="2">
        <v>23.87</v>
      </c>
      <c r="E15" s="2">
        <v>33.11</v>
      </c>
      <c r="F15" s="73">
        <v>35.23</v>
      </c>
      <c r="I15" s="73">
        <v>35.23</v>
      </c>
      <c r="J15" s="2">
        <v>23.87</v>
      </c>
      <c r="M15" s="2">
        <v>33.11</v>
      </c>
      <c r="N15" s="2">
        <v>23.87</v>
      </c>
    </row>
    <row r="16">
      <c r="A16" s="2">
        <v>30.52</v>
      </c>
      <c r="B16" s="73">
        <v>33.46</v>
      </c>
      <c r="C16" s="2">
        <v>27.77</v>
      </c>
      <c r="E16" s="2">
        <v>30.52</v>
      </c>
      <c r="F16" s="73">
        <v>33.46</v>
      </c>
      <c r="I16" s="73">
        <v>33.46</v>
      </c>
      <c r="J16" s="2">
        <v>27.77</v>
      </c>
      <c r="M16" s="2">
        <v>30.52</v>
      </c>
      <c r="N16" s="2">
        <v>27.77</v>
      </c>
    </row>
    <row r="21">
      <c r="A21" s="2" t="s">
        <v>398</v>
      </c>
      <c r="B21" s="2" t="s">
        <v>399</v>
      </c>
      <c r="D21" s="2" t="s">
        <v>400</v>
      </c>
    </row>
    <row r="22">
      <c r="A22" s="2">
        <v>46.87</v>
      </c>
      <c r="B22" s="2">
        <v>45.9</v>
      </c>
      <c r="D22" s="12">
        <f>_xlfn.T.TEST(A22:A27,B22:B26, 1, 3)</f>
        <v>0.1348253882</v>
      </c>
    </row>
    <row r="23">
      <c r="A23" s="2">
        <v>47.17</v>
      </c>
      <c r="B23" s="2">
        <v>49.64</v>
      </c>
    </row>
    <row r="24">
      <c r="A24" s="2">
        <v>48.77</v>
      </c>
      <c r="B24" s="2">
        <v>48.77</v>
      </c>
    </row>
    <row r="25">
      <c r="A25" s="2">
        <v>47.95</v>
      </c>
      <c r="B25" s="2">
        <v>41.96</v>
      </c>
    </row>
    <row r="26">
      <c r="A26" s="2">
        <v>47.58</v>
      </c>
      <c r="B26" s="2">
        <v>40.21</v>
      </c>
    </row>
    <row r="27">
      <c r="A27" s="2">
        <v>47.69</v>
      </c>
    </row>
  </sheetData>
  <drawing r:id="rId1"/>
</worksheet>
</file>