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57f8fa61db4e89c/Documents/IUPUI/2023 (5) (Junior) Fall Classes/BUS-F 374/"/>
    </mc:Choice>
  </mc:AlternateContent>
  <xr:revisionPtr revIDLastSave="2468" documentId="14_{1F3FF777-5522-4813-A71F-090F67123F01}" xr6:coauthVersionLast="47" xr6:coauthVersionMax="47" xr10:uidLastSave="{2658433C-EC6B-4E45-85CE-2F75B15D6D12}"/>
  <bookViews>
    <workbookView xWindow="-120" yWindow="-120" windowWidth="29040" windowHeight="15720" tabRatio="952" activeTab="7" xr2:uid="{00000000-000D-0000-FFFF-FFFF00000000}"/>
  </bookViews>
  <sheets>
    <sheet name="Capital Budgeting" sheetId="15" r:id="rId1"/>
    <sheet name="+3.4% Required Return" sheetId="28" r:id="rId2"/>
    <sheet name="-9% Unit Sales" sheetId="22" r:id="rId3"/>
    <sheet name="+9% Unit Sales" sheetId="23" r:id="rId4"/>
    <sheet name="+30% Fixed Cost" sheetId="29" r:id="rId5"/>
    <sheet name="+5% Variable Costs" sheetId="24" r:id="rId6"/>
    <sheet name="-3% Price" sheetId="25" r:id="rId7"/>
    <sheet name="Computations" sheetId="17" r:id="rId8"/>
    <sheet name="WACC" sheetId="27" r:id="rId9"/>
    <sheet name="Sales Forecast" sheetId="18" r:id="rId10"/>
    <sheet name="Salaries" sheetId="16" r:id="rId11"/>
    <sheet name="Benefits" sheetId="21" r:id="rId12"/>
    <sheet name="Promotional Plan" sheetId="26" r:id="rId13"/>
    <sheet name="Insource" sheetId="19" r:id="rId14"/>
    <sheet name="Outsource" sheetId="20" r:id="rId15"/>
  </sheets>
  <definedNames>
    <definedName name="Depreciation_Computers">Computations!$B$10:$B$10</definedName>
    <definedName name="EmployeesAmount">Benefits!$K$9</definedName>
    <definedName name="FixedCosts_Total">Computations!$C$20:$C$20</definedName>
    <definedName name="NWC_Year0">Computations!$O$24</definedName>
    <definedName name="_xlnm.Print_Area" localSheetId="1">'+3.4% Required Return'!$A$1:$I$70</definedName>
    <definedName name="_xlnm.Print_Area" localSheetId="4">'+30% Fixed Cost'!$A$1:$I$70</definedName>
    <definedName name="_xlnm.Print_Area" localSheetId="0">'Capital Budgeting'!$A$1:$I$70</definedName>
    <definedName name="Salaries_AmountListings">Salaries!$B$5:$B$10,Salaries!$E$5:$E$10,Salaries!$H$5:$H$10,Salaries!$K$5:$K$10,Salaries!$N$5:$N$10,Salaries!$Q$5:$Q$10,Salaries!$T$5:$T$10</definedName>
    <definedName name="Total_CostofComputers">Computations!$B$6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4" i="17" l="1"/>
  <c r="AE27" i="17"/>
  <c r="AE21" i="17"/>
  <c r="AE20" i="17"/>
  <c r="AE13" i="17"/>
  <c r="C21" i="15"/>
  <c r="H22" i="15"/>
  <c r="I22" i="15"/>
  <c r="E24" i="15"/>
  <c r="F24" i="15"/>
  <c r="G24" i="15"/>
  <c r="H24" i="15"/>
  <c r="I24" i="15"/>
  <c r="E25" i="15"/>
  <c r="F25" i="15"/>
  <c r="G25" i="15" s="1"/>
  <c r="H25" i="15" s="1"/>
  <c r="I25" i="15" s="1"/>
  <c r="C17" i="25"/>
  <c r="C17" i="24"/>
  <c r="C17" i="29"/>
  <c r="C17" i="23"/>
  <c r="C17" i="22"/>
  <c r="C17" i="28"/>
  <c r="C17" i="15"/>
  <c r="C78" i="17"/>
  <c r="D78" i="17"/>
  <c r="E78" i="17"/>
  <c r="F78" i="17"/>
  <c r="AK8" i="18"/>
  <c r="Y8" i="18"/>
  <c r="M8" i="18"/>
  <c r="T27" i="16"/>
  <c r="Q30" i="16"/>
  <c r="H27" i="16"/>
  <c r="T26" i="16"/>
  <c r="T25" i="16"/>
  <c r="T24" i="16"/>
  <c r="Q29" i="16"/>
  <c r="Q28" i="16"/>
  <c r="Q27" i="16"/>
  <c r="Q26" i="16"/>
  <c r="Q25" i="16"/>
  <c r="Q24" i="16"/>
  <c r="N29" i="16"/>
  <c r="N28" i="16"/>
  <c r="N27" i="16"/>
  <c r="N26" i="16"/>
  <c r="N25" i="16"/>
  <c r="N24" i="16"/>
  <c r="K26" i="16"/>
  <c r="K25" i="16"/>
  <c r="K24" i="16"/>
  <c r="H26" i="16"/>
  <c r="H25" i="16"/>
  <c r="H24" i="16"/>
  <c r="E26" i="16"/>
  <c r="E25" i="16"/>
  <c r="E24" i="16"/>
  <c r="E27" i="16"/>
  <c r="B24" i="16"/>
  <c r="C28" i="15"/>
  <c r="H22" i="25"/>
  <c r="I22" i="25" s="1"/>
  <c r="H22" i="24"/>
  <c r="I22" i="24" s="1"/>
  <c r="H22" i="29"/>
  <c r="I22" i="29" s="1"/>
  <c r="H22" i="23"/>
  <c r="I22" i="23" s="1"/>
  <c r="H22" i="22"/>
  <c r="I22" i="22" s="1"/>
  <c r="H22" i="28"/>
  <c r="I22" i="28" s="1"/>
  <c r="H60" i="29" l="1"/>
  <c r="I60" i="29" s="1"/>
  <c r="H53" i="29"/>
  <c r="I53" i="29" s="1"/>
  <c r="H43" i="29"/>
  <c r="I43" i="29" s="1"/>
  <c r="H35" i="29"/>
  <c r="I35" i="29" s="1"/>
  <c r="C28" i="29"/>
  <c r="I14" i="29"/>
  <c r="H14" i="29"/>
  <c r="G14" i="29"/>
  <c r="F14" i="29"/>
  <c r="E14" i="29"/>
  <c r="I10" i="29" a="1"/>
  <c r="I10" i="29" s="1"/>
  <c r="H10" i="29" a="1"/>
  <c r="H10" i="29" s="1"/>
  <c r="G10" i="29" a="1"/>
  <c r="G10" i="29" s="1"/>
  <c r="F10" i="29" a="1"/>
  <c r="F10" i="29" s="1"/>
  <c r="E10" i="29" a="1"/>
  <c r="E10" i="29" s="1"/>
  <c r="H3" i="29"/>
  <c r="I3" i="29" s="1"/>
  <c r="H60" i="28"/>
  <c r="I60" i="28" s="1"/>
  <c r="H53" i="28"/>
  <c r="I53" i="28" s="1"/>
  <c r="I43" i="28"/>
  <c r="H43" i="28"/>
  <c r="I35" i="28"/>
  <c r="H35" i="28"/>
  <c r="C28" i="28"/>
  <c r="I14" i="28"/>
  <c r="H14" i="28"/>
  <c r="G14" i="28"/>
  <c r="F14" i="28"/>
  <c r="E14" i="28"/>
  <c r="I10" i="28" a="1"/>
  <c r="I10" i="28" s="1"/>
  <c r="H10" i="28" a="1"/>
  <c r="H10" i="28" s="1"/>
  <c r="G10" i="28" a="1"/>
  <c r="G10" i="28" s="1"/>
  <c r="F10" i="28" a="1"/>
  <c r="F10" i="28" s="1"/>
  <c r="E10" i="28" a="1"/>
  <c r="E10" i="28" s="1"/>
  <c r="H3" i="28"/>
  <c r="I3" i="28" s="1"/>
  <c r="H32" i="16"/>
  <c r="B32" i="16"/>
  <c r="I14" i="25"/>
  <c r="H14" i="25"/>
  <c r="G14" i="25"/>
  <c r="F14" i="25"/>
  <c r="E14" i="25"/>
  <c r="I14" i="24"/>
  <c r="H14" i="24"/>
  <c r="G14" i="24"/>
  <c r="F14" i="24"/>
  <c r="E14" i="24"/>
  <c r="I14" i="23"/>
  <c r="H14" i="23"/>
  <c r="G14" i="23"/>
  <c r="F14" i="23"/>
  <c r="E14" i="23"/>
  <c r="I14" i="22"/>
  <c r="H14" i="22"/>
  <c r="G14" i="22"/>
  <c r="F14" i="22"/>
  <c r="E14" i="22"/>
  <c r="I14" i="15"/>
  <c r="H14" i="15"/>
  <c r="G14" i="15"/>
  <c r="F14" i="15"/>
  <c r="E14" i="15"/>
  <c r="E7" i="27"/>
  <c r="F5" i="27"/>
  <c r="F4" i="27"/>
  <c r="F3" i="27"/>
  <c r="F7" i="27" s="1"/>
  <c r="E5" i="27"/>
  <c r="E4" i="27"/>
  <c r="E3" i="27"/>
  <c r="AG33" i="27"/>
  <c r="AG32" i="27"/>
  <c r="AF27" i="27"/>
  <c r="AF22" i="27"/>
  <c r="AF21" i="27"/>
  <c r="AF10" i="27"/>
  <c r="C5" i="27" s="1"/>
  <c r="W33" i="27"/>
  <c r="W32" i="27"/>
  <c r="V27" i="27"/>
  <c r="V22" i="27"/>
  <c r="V21" i="27"/>
  <c r="V10" i="27"/>
  <c r="C4" i="27" s="1"/>
  <c r="M33" i="27"/>
  <c r="M32" i="27"/>
  <c r="L27" i="27"/>
  <c r="L22" i="27"/>
  <c r="L21" i="27"/>
  <c r="L10" i="27"/>
  <c r="C3" i="27" s="1"/>
  <c r="E8" i="27" s="1"/>
  <c r="C11" i="27" s="1"/>
  <c r="K19" i="26"/>
  <c r="K27" i="26"/>
  <c r="K33" i="26"/>
  <c r="E20" i="26"/>
  <c r="E22" i="26" s="1"/>
  <c r="B19" i="17" s="1"/>
  <c r="B15" i="17"/>
  <c r="F8" i="27" l="1"/>
  <c r="E32" i="16"/>
  <c r="K32" i="16"/>
  <c r="L23" i="27"/>
  <c r="M23" i="27" s="1"/>
  <c r="AF23" i="27"/>
  <c r="AG23" i="27" s="1"/>
  <c r="V23" i="27"/>
  <c r="M22" i="27"/>
  <c r="K35" i="26"/>
  <c r="L33" i="27" l="1"/>
  <c r="N33" i="27" s="1"/>
  <c r="H3" i="27"/>
  <c r="M21" i="27"/>
  <c r="W22" i="27"/>
  <c r="W23" i="27"/>
  <c r="W21" i="27"/>
  <c r="AG22" i="27"/>
  <c r="AG21" i="27"/>
  <c r="V33" i="27" l="1"/>
  <c r="X33" i="27" s="1"/>
  <c r="H4" i="27"/>
  <c r="H7" i="27" s="1"/>
  <c r="AF32" i="27"/>
  <c r="G5" i="27"/>
  <c r="L32" i="27"/>
  <c r="G3" i="27"/>
  <c r="AF33" i="27"/>
  <c r="AH33" i="27" s="1"/>
  <c r="H5" i="27"/>
  <c r="V32" i="27"/>
  <c r="X32" i="27" s="1"/>
  <c r="X34" i="27" s="1"/>
  <c r="G4" i="27"/>
  <c r="AH32" i="27" l="1"/>
  <c r="AH34" i="27" s="1"/>
  <c r="AF37" i="27"/>
  <c r="AF36" i="27" s="1"/>
  <c r="H8" i="27"/>
  <c r="G7" i="27"/>
  <c r="G8" i="27"/>
  <c r="C14" i="27" s="1"/>
  <c r="C16" i="27" s="1"/>
  <c r="L37" i="27"/>
  <c r="L36" i="27" s="1"/>
  <c r="N32" i="27"/>
  <c r="N34" i="27" s="1"/>
  <c r="V37" i="27"/>
  <c r="V36" i="27" s="1"/>
  <c r="AL32" i="18" l="1"/>
  <c r="AL31" i="18"/>
  <c r="AL30" i="18"/>
  <c r="AL29" i="18"/>
  <c r="AL28" i="18"/>
  <c r="AL24" i="18"/>
  <c r="AL23" i="18"/>
  <c r="AL22" i="18"/>
  <c r="AL21" i="18"/>
  <c r="AL20" i="18"/>
  <c r="AL13" i="18"/>
  <c r="AL14" i="18"/>
  <c r="AL15" i="18"/>
  <c r="AL16" i="18"/>
  <c r="AL12" i="18"/>
  <c r="Z32" i="18"/>
  <c r="Z31" i="18"/>
  <c r="Z30" i="18"/>
  <c r="Z29" i="18"/>
  <c r="Z28" i="18"/>
  <c r="Z24" i="18"/>
  <c r="Z23" i="18"/>
  <c r="Z22" i="18"/>
  <c r="Z21" i="18"/>
  <c r="Z20" i="18"/>
  <c r="Z13" i="18"/>
  <c r="Z14" i="18"/>
  <c r="Z15" i="18"/>
  <c r="Z16" i="18"/>
  <c r="Z12" i="18"/>
  <c r="L21" i="17"/>
  <c r="L20" i="17"/>
  <c r="M20" i="17" s="1"/>
  <c r="O20" i="17" s="1"/>
  <c r="L19" i="17"/>
  <c r="L18" i="17"/>
  <c r="L17" i="17"/>
  <c r="L16" i="17"/>
  <c r="M16" i="17" s="1"/>
  <c r="W10" i="26"/>
  <c r="W12" i="26" s="1"/>
  <c r="D19" i="17" s="1"/>
  <c r="Q23" i="26"/>
  <c r="Q12" i="26"/>
  <c r="S61" i="21"/>
  <c r="T61" i="21" s="1"/>
  <c r="O61" i="21"/>
  <c r="P61" i="21" s="1"/>
  <c r="K61" i="21"/>
  <c r="L61" i="21" s="1"/>
  <c r="S54" i="21"/>
  <c r="T54" i="21" s="1"/>
  <c r="O54" i="21"/>
  <c r="P54" i="21" s="1"/>
  <c r="K54" i="21"/>
  <c r="L54" i="21" s="1"/>
  <c r="D15" i="17"/>
  <c r="N31" i="16"/>
  <c r="S44" i="21" s="1"/>
  <c r="T44" i="21" s="1"/>
  <c r="N30" i="16"/>
  <c r="N32" i="16" s="1"/>
  <c r="T33" i="16"/>
  <c r="Q33" i="16"/>
  <c r="N33" i="16"/>
  <c r="K33" i="16"/>
  <c r="H33" i="16"/>
  <c r="E33" i="16"/>
  <c r="B33" i="16"/>
  <c r="Q32" i="16"/>
  <c r="T32" i="16"/>
  <c r="AQ29" i="18"/>
  <c r="AQ30" i="18"/>
  <c r="AQ31" i="18"/>
  <c r="AQ32" i="18"/>
  <c r="AQ28" i="18"/>
  <c r="AQ21" i="18"/>
  <c r="AQ22" i="18"/>
  <c r="AQ23" i="18"/>
  <c r="AQ24" i="18"/>
  <c r="AS37" i="18" s="1"/>
  <c r="AQ20" i="18"/>
  <c r="AQ13" i="18"/>
  <c r="AQ14" i="18"/>
  <c r="AQ15" i="18"/>
  <c r="AQ16" i="18"/>
  <c r="AS36" i="18" s="1"/>
  <c r="AQ12" i="18"/>
  <c r="AL37" i="18"/>
  <c r="N32" i="18"/>
  <c r="R37" i="18" s="1"/>
  <c r="I6" i="22" s="1"/>
  <c r="N31" i="18"/>
  <c r="Q37" i="18" s="1"/>
  <c r="H6" i="22" s="1"/>
  <c r="N30" i="18"/>
  <c r="AD30" i="18" s="1"/>
  <c r="AF30" i="18" s="1"/>
  <c r="AG30" i="18" s="1"/>
  <c r="N29" i="18"/>
  <c r="O37" i="18" s="1"/>
  <c r="F6" i="22" s="1"/>
  <c r="N28" i="18"/>
  <c r="N37" i="18" s="1"/>
  <c r="E6" i="22" s="1"/>
  <c r="N24" i="18"/>
  <c r="R24" i="18" s="1"/>
  <c r="T24" i="18" s="1"/>
  <c r="U24" i="18" s="1"/>
  <c r="N23" i="18"/>
  <c r="N22" i="18"/>
  <c r="R22" i="18" s="1"/>
  <c r="T22" i="18" s="1"/>
  <c r="U22" i="18" s="1"/>
  <c r="N21" i="18"/>
  <c r="N20" i="18"/>
  <c r="R20" i="18" s="1"/>
  <c r="T20" i="18" s="1"/>
  <c r="U20" i="18" s="1"/>
  <c r="N13" i="18"/>
  <c r="AD13" i="18" s="1"/>
  <c r="AF13" i="18" s="1"/>
  <c r="AG13" i="18" s="1"/>
  <c r="N14" i="18"/>
  <c r="N15" i="18"/>
  <c r="N16" i="18"/>
  <c r="N12" i="18"/>
  <c r="AD12" i="18" s="1"/>
  <c r="AF12" i="18" s="1"/>
  <c r="AG12" i="18" s="1"/>
  <c r="I38" i="18"/>
  <c r="I37" i="18"/>
  <c r="I36" i="18"/>
  <c r="U38" i="18"/>
  <c r="U37" i="18"/>
  <c r="U36" i="18"/>
  <c r="AG38" i="18"/>
  <c r="AG37" i="18"/>
  <c r="AG36" i="18"/>
  <c r="AS38" i="18"/>
  <c r="F12" i="25" s="1"/>
  <c r="H60" i="25"/>
  <c r="I60" i="25" s="1"/>
  <c r="H53" i="25"/>
  <c r="I53" i="25" s="1"/>
  <c r="H43" i="25"/>
  <c r="I43" i="25" s="1"/>
  <c r="H35" i="25"/>
  <c r="I35" i="25" s="1"/>
  <c r="C28" i="25"/>
  <c r="H3" i="25"/>
  <c r="I3" i="25" s="1"/>
  <c r="H60" i="24"/>
  <c r="I60" i="24" s="1"/>
  <c r="H53" i="24"/>
  <c r="I53" i="24" s="1"/>
  <c r="H43" i="24"/>
  <c r="I43" i="24" s="1"/>
  <c r="H35" i="24"/>
  <c r="I35" i="24" s="1"/>
  <c r="C28" i="24"/>
  <c r="I10" i="24" a="1"/>
  <c r="I10" i="24" s="1"/>
  <c r="H10" i="24" a="1"/>
  <c r="H10" i="24" s="1"/>
  <c r="G10" i="24" a="1"/>
  <c r="G10" i="24" s="1"/>
  <c r="F10" i="24" a="1"/>
  <c r="F10" i="24" s="1"/>
  <c r="E10" i="24" a="1"/>
  <c r="E10" i="24" s="1"/>
  <c r="H3" i="24"/>
  <c r="I3" i="24" s="1"/>
  <c r="H60" i="23"/>
  <c r="I60" i="23" s="1"/>
  <c r="H53" i="23"/>
  <c r="I53" i="23" s="1"/>
  <c r="H43" i="23"/>
  <c r="I43" i="23" s="1"/>
  <c r="H35" i="23"/>
  <c r="I35" i="23" s="1"/>
  <c r="C28" i="23"/>
  <c r="I10" i="23" a="1"/>
  <c r="I10" i="23" s="1"/>
  <c r="H10" i="23" a="1"/>
  <c r="H10" i="23" s="1"/>
  <c r="G10" i="23" a="1"/>
  <c r="G10" i="23" s="1"/>
  <c r="F10" i="23" a="1"/>
  <c r="F10" i="23" s="1"/>
  <c r="E10" i="23" a="1"/>
  <c r="E10" i="23" s="1"/>
  <c r="H3" i="23"/>
  <c r="I3" i="23" s="1"/>
  <c r="H60" i="22"/>
  <c r="I60" i="22" s="1"/>
  <c r="H53" i="22"/>
  <c r="I53" i="22" s="1"/>
  <c r="H43" i="22"/>
  <c r="I43" i="22" s="1"/>
  <c r="H35" i="22"/>
  <c r="I35" i="22" s="1"/>
  <c r="C28" i="22"/>
  <c r="I10" i="22" a="1"/>
  <c r="I10" i="22" s="1"/>
  <c r="H10" i="22" a="1"/>
  <c r="H10" i="22" s="1"/>
  <c r="G10" i="22" a="1"/>
  <c r="G10" i="22" s="1"/>
  <c r="F10" i="22" a="1"/>
  <c r="F10" i="22" s="1"/>
  <c r="E10" i="22" a="1"/>
  <c r="E10" i="22" s="1"/>
  <c r="H3" i="22"/>
  <c r="I3" i="22" s="1"/>
  <c r="F6" i="15"/>
  <c r="F37" i="18"/>
  <c r="E37" i="18"/>
  <c r="D37" i="18"/>
  <c r="C37" i="18"/>
  <c r="F6" i="24" s="1"/>
  <c r="B37" i="18"/>
  <c r="E6" i="24" s="1"/>
  <c r="F29" i="18"/>
  <c r="H29" i="18" s="1"/>
  <c r="I29" i="18" s="1"/>
  <c r="F30" i="18"/>
  <c r="AG8" i="17" s="1"/>
  <c r="F31" i="18"/>
  <c r="AH8" i="17" s="1"/>
  <c r="F32" i="18"/>
  <c r="AI29" i="17" s="1"/>
  <c r="F28" i="18"/>
  <c r="AE29" i="17" s="1"/>
  <c r="H20" i="18"/>
  <c r="I20" i="18" s="1"/>
  <c r="F21" i="18"/>
  <c r="AF7" i="17" s="1"/>
  <c r="F22" i="18"/>
  <c r="AG7" i="17" s="1"/>
  <c r="F23" i="18"/>
  <c r="AH28" i="17" s="1"/>
  <c r="F24" i="18"/>
  <c r="AI28" i="17" s="1"/>
  <c r="F20" i="18"/>
  <c r="H16" i="18"/>
  <c r="I16" i="18" s="1"/>
  <c r="F13" i="18"/>
  <c r="AF27" i="17" s="1"/>
  <c r="F14" i="18"/>
  <c r="AG6" i="17" s="1"/>
  <c r="F15" i="18"/>
  <c r="AH6" i="17" s="1"/>
  <c r="F16" i="18"/>
  <c r="F12" i="18"/>
  <c r="H12" i="18" s="1"/>
  <c r="I12" i="18" s="1"/>
  <c r="B24" i="17"/>
  <c r="B36" i="17" s="1"/>
  <c r="B8" i="17" s="1"/>
  <c r="C15" i="17"/>
  <c r="T12" i="16"/>
  <c r="Q12" i="16"/>
  <c r="N12" i="16"/>
  <c r="K12" i="16"/>
  <c r="H12" i="16"/>
  <c r="E12" i="16"/>
  <c r="B12" i="16"/>
  <c r="S67" i="21"/>
  <c r="O67" i="21"/>
  <c r="K67" i="21"/>
  <c r="G67" i="21"/>
  <c r="C67" i="21"/>
  <c r="S60" i="21"/>
  <c r="T60" i="21" s="1"/>
  <c r="O60" i="21"/>
  <c r="P60" i="21" s="1"/>
  <c r="K60" i="21"/>
  <c r="L60" i="21" s="1"/>
  <c r="G60" i="21"/>
  <c r="H60" i="21" s="1"/>
  <c r="C60" i="21"/>
  <c r="D60" i="21" s="1"/>
  <c r="S59" i="21"/>
  <c r="T59" i="21" s="1"/>
  <c r="O59" i="21"/>
  <c r="P59" i="21" s="1"/>
  <c r="K59" i="21"/>
  <c r="L59" i="21" s="1"/>
  <c r="G59" i="21"/>
  <c r="H59" i="21" s="1"/>
  <c r="C59" i="21"/>
  <c r="D59" i="21" s="1"/>
  <c r="S58" i="21"/>
  <c r="O58" i="21"/>
  <c r="K58" i="21"/>
  <c r="G58" i="21"/>
  <c r="C58" i="21"/>
  <c r="S53" i="21"/>
  <c r="T53" i="21" s="1"/>
  <c r="O53" i="21"/>
  <c r="P53" i="21" s="1"/>
  <c r="K53" i="21"/>
  <c r="L53" i="21" s="1"/>
  <c r="G53" i="21"/>
  <c r="H53" i="21" s="1"/>
  <c r="C53" i="21"/>
  <c r="D53" i="21" s="1"/>
  <c r="S52" i="21"/>
  <c r="T52" i="21" s="1"/>
  <c r="O52" i="21"/>
  <c r="P52" i="21" s="1"/>
  <c r="K52" i="21"/>
  <c r="L52" i="21" s="1"/>
  <c r="G52" i="21"/>
  <c r="H52" i="21" s="1"/>
  <c r="C52" i="21"/>
  <c r="D52" i="21" s="1"/>
  <c r="S51" i="21"/>
  <c r="T51" i="21" s="1"/>
  <c r="O51" i="21"/>
  <c r="P51" i="21" s="1"/>
  <c r="K51" i="21"/>
  <c r="L51" i="21" s="1"/>
  <c r="G51" i="21"/>
  <c r="H51" i="21" s="1"/>
  <c r="C51" i="21"/>
  <c r="D51" i="21" s="1"/>
  <c r="S50" i="21"/>
  <c r="T50" i="21" s="1"/>
  <c r="O50" i="21"/>
  <c r="P50" i="21" s="1"/>
  <c r="K50" i="21"/>
  <c r="L50" i="21" s="1"/>
  <c r="G50" i="21"/>
  <c r="H50" i="21" s="1"/>
  <c r="C50" i="21"/>
  <c r="D50" i="21" s="1"/>
  <c r="S49" i="21"/>
  <c r="T49" i="21" s="1"/>
  <c r="O49" i="21"/>
  <c r="P49" i="21" s="1"/>
  <c r="K49" i="21"/>
  <c r="L49" i="21" s="1"/>
  <c r="G49" i="21"/>
  <c r="H49" i="21" s="1"/>
  <c r="C49" i="21"/>
  <c r="D49" i="21" s="1"/>
  <c r="S48" i="21"/>
  <c r="O48" i="21"/>
  <c r="K48" i="21"/>
  <c r="G48" i="21"/>
  <c r="C48" i="21"/>
  <c r="S42" i="21"/>
  <c r="T42" i="21" s="1"/>
  <c r="O42" i="21"/>
  <c r="P42" i="21" s="1"/>
  <c r="K42" i="21"/>
  <c r="L42" i="21" s="1"/>
  <c r="G42" i="21"/>
  <c r="H42" i="21" s="1"/>
  <c r="C42" i="21"/>
  <c r="D42" i="21" s="1"/>
  <c r="S41" i="21"/>
  <c r="T41" i="21" s="1"/>
  <c r="O41" i="21"/>
  <c r="P41" i="21" s="1"/>
  <c r="K41" i="21"/>
  <c r="L41" i="21" s="1"/>
  <c r="G41" i="21"/>
  <c r="H41" i="21" s="1"/>
  <c r="C41" i="21"/>
  <c r="D41" i="21" s="1"/>
  <c r="S40" i="21"/>
  <c r="T40" i="21" s="1"/>
  <c r="O40" i="21"/>
  <c r="P40" i="21" s="1"/>
  <c r="K40" i="21"/>
  <c r="L40" i="21" s="1"/>
  <c r="G40" i="21"/>
  <c r="H40" i="21" s="1"/>
  <c r="C40" i="21"/>
  <c r="D40" i="21" s="1"/>
  <c r="S39" i="21"/>
  <c r="T39" i="21" s="1"/>
  <c r="O39" i="21"/>
  <c r="P39" i="21" s="1"/>
  <c r="K39" i="21"/>
  <c r="L39" i="21" s="1"/>
  <c r="G39" i="21"/>
  <c r="H39" i="21" s="1"/>
  <c r="C39" i="21"/>
  <c r="D39" i="21" s="1"/>
  <c r="S38" i="21"/>
  <c r="T38" i="21" s="1"/>
  <c r="O38" i="21"/>
  <c r="P38" i="21" s="1"/>
  <c r="K38" i="21"/>
  <c r="L38" i="21" s="1"/>
  <c r="G38" i="21"/>
  <c r="H38" i="21" s="1"/>
  <c r="C38" i="21"/>
  <c r="D38" i="21" s="1"/>
  <c r="S37" i="21"/>
  <c r="O37" i="21"/>
  <c r="K37" i="21"/>
  <c r="G37" i="21"/>
  <c r="C37" i="21"/>
  <c r="S30" i="21"/>
  <c r="T30" i="21" s="1"/>
  <c r="O30" i="21"/>
  <c r="P30" i="21" s="1"/>
  <c r="K30" i="21"/>
  <c r="L30" i="21" s="1"/>
  <c r="G30" i="21"/>
  <c r="H30" i="21" s="1"/>
  <c r="C30" i="21"/>
  <c r="D30" i="21" s="1"/>
  <c r="S29" i="21"/>
  <c r="T29" i="21" s="1"/>
  <c r="O29" i="21"/>
  <c r="P29" i="21" s="1"/>
  <c r="K29" i="21"/>
  <c r="L29" i="21" s="1"/>
  <c r="G29" i="21"/>
  <c r="H29" i="21" s="1"/>
  <c r="C29" i="21"/>
  <c r="D29" i="21" s="1"/>
  <c r="S28" i="21"/>
  <c r="O28" i="21"/>
  <c r="K28" i="21"/>
  <c r="G28" i="21"/>
  <c r="C28" i="21"/>
  <c r="S21" i="21"/>
  <c r="T21" i="21" s="1"/>
  <c r="O21" i="21"/>
  <c r="P21" i="21" s="1"/>
  <c r="K21" i="21"/>
  <c r="L21" i="21" s="1"/>
  <c r="G21" i="21"/>
  <c r="H21" i="21" s="1"/>
  <c r="C21" i="21"/>
  <c r="D21" i="21" s="1"/>
  <c r="S20" i="21"/>
  <c r="T20" i="21" s="1"/>
  <c r="O20" i="21"/>
  <c r="P20" i="21" s="1"/>
  <c r="K20" i="21"/>
  <c r="L20" i="21" s="1"/>
  <c r="G20" i="21"/>
  <c r="H20" i="21" s="1"/>
  <c r="C20" i="21"/>
  <c r="D20" i="21" s="1"/>
  <c r="S19" i="21"/>
  <c r="O19" i="21"/>
  <c r="K19" i="21"/>
  <c r="G19" i="21"/>
  <c r="C19" i="21"/>
  <c r="S13" i="21"/>
  <c r="T13" i="21" s="1"/>
  <c r="O13" i="21"/>
  <c r="P13" i="21" s="1"/>
  <c r="K13" i="21"/>
  <c r="L13" i="21" s="1"/>
  <c r="G13" i="21"/>
  <c r="H13" i="21" s="1"/>
  <c r="C13" i="21"/>
  <c r="D13" i="21" s="1"/>
  <c r="S12" i="21"/>
  <c r="T12" i="21" s="1"/>
  <c r="O12" i="21"/>
  <c r="P12" i="21" s="1"/>
  <c r="K12" i="21"/>
  <c r="L12" i="21" s="1"/>
  <c r="G12" i="21"/>
  <c r="H12" i="21" s="1"/>
  <c r="C12" i="21"/>
  <c r="D12" i="21" s="1"/>
  <c r="S11" i="21"/>
  <c r="T11" i="21" s="1"/>
  <c r="O11" i="21"/>
  <c r="P11" i="21" s="1"/>
  <c r="K11" i="21"/>
  <c r="L11" i="21" s="1"/>
  <c r="G11" i="21"/>
  <c r="H11" i="21" s="1"/>
  <c r="C11" i="21"/>
  <c r="D11" i="21" s="1"/>
  <c r="S10" i="21"/>
  <c r="O10" i="21"/>
  <c r="K10" i="21"/>
  <c r="G10" i="21"/>
  <c r="C10" i="21"/>
  <c r="Z33" i="17"/>
  <c r="W41" i="17" s="1"/>
  <c r="AF28" i="17"/>
  <c r="AI27" i="17"/>
  <c r="AE28" i="17"/>
  <c r="AI8" i="17"/>
  <c r="AF8" i="17"/>
  <c r="AE8" i="17"/>
  <c r="AE7" i="17"/>
  <c r="AI6" i="17"/>
  <c r="AE6" i="17"/>
  <c r="Z31" i="17"/>
  <c r="Z29" i="17"/>
  <c r="Z30" i="17" s="1"/>
  <c r="O131" i="17"/>
  <c r="O109" i="17"/>
  <c r="O87" i="17"/>
  <c r="O66" i="17"/>
  <c r="O45" i="17"/>
  <c r="O16" i="17"/>
  <c r="M17" i="17"/>
  <c r="O17" i="17" s="1"/>
  <c r="M18" i="17"/>
  <c r="O18" i="17" s="1"/>
  <c r="M19" i="17"/>
  <c r="O19" i="17" s="1"/>
  <c r="M21" i="17"/>
  <c r="O21" i="17" s="1"/>
  <c r="T11" i="16"/>
  <c r="Q11" i="16"/>
  <c r="N11" i="16"/>
  <c r="K11" i="16"/>
  <c r="H11" i="16"/>
  <c r="E11" i="16"/>
  <c r="B11" i="16"/>
  <c r="H22" i="18" l="1"/>
  <c r="I22" i="18" s="1"/>
  <c r="H28" i="18"/>
  <c r="I28" i="18" s="1"/>
  <c r="G6" i="29"/>
  <c r="G6" i="28"/>
  <c r="F6" i="25"/>
  <c r="H14" i="18"/>
  <c r="I14" i="18" s="1"/>
  <c r="E6" i="29"/>
  <c r="E6" i="28"/>
  <c r="AF6" i="17"/>
  <c r="AF13" i="17" s="1"/>
  <c r="AF20" i="17" s="1"/>
  <c r="H21" i="18"/>
  <c r="I21" i="18" s="1"/>
  <c r="D44" i="18" s="1"/>
  <c r="H32" i="18"/>
  <c r="I32" i="18" s="1"/>
  <c r="H6" i="29"/>
  <c r="H6" i="28"/>
  <c r="E6" i="15"/>
  <c r="G6" i="25"/>
  <c r="H15" i="18"/>
  <c r="I15" i="18" s="1"/>
  <c r="H24" i="18"/>
  <c r="I24" i="18" s="1"/>
  <c r="F40" i="18" s="1"/>
  <c r="H13" i="18"/>
  <c r="I13" i="18" s="1"/>
  <c r="H23" i="18"/>
  <c r="I23" i="18" s="1"/>
  <c r="F6" i="28"/>
  <c r="F6" i="29"/>
  <c r="AF29" i="17"/>
  <c r="AF36" i="17" s="1"/>
  <c r="AG29" i="17"/>
  <c r="AH29" i="17"/>
  <c r="H31" i="18"/>
  <c r="I31" i="18" s="1"/>
  <c r="I6" i="29"/>
  <c r="I6" i="28"/>
  <c r="I6" i="15"/>
  <c r="G6" i="24"/>
  <c r="H6" i="25"/>
  <c r="E6" i="25"/>
  <c r="B40" i="18"/>
  <c r="H30" i="18"/>
  <c r="I30" i="18" s="1"/>
  <c r="H6" i="15"/>
  <c r="H6" i="24"/>
  <c r="I6" i="25"/>
  <c r="K43" i="21"/>
  <c r="L43" i="21" s="1"/>
  <c r="G6" i="15"/>
  <c r="I6" i="24"/>
  <c r="K44" i="21"/>
  <c r="L44" i="21" s="1"/>
  <c r="AH7" i="17"/>
  <c r="O43" i="21"/>
  <c r="P43" i="21" s="1"/>
  <c r="O44" i="21"/>
  <c r="P44" i="21" s="1"/>
  <c r="S43" i="21"/>
  <c r="T43" i="21" s="1"/>
  <c r="Q25" i="26"/>
  <c r="C19" i="17" s="1"/>
  <c r="S55" i="21"/>
  <c r="K55" i="21"/>
  <c r="O55" i="21"/>
  <c r="J36" i="16"/>
  <c r="AD23" i="18"/>
  <c r="AF23" i="18" s="1"/>
  <c r="AG23" i="18" s="1"/>
  <c r="AD21" i="18"/>
  <c r="AF21" i="18" s="1"/>
  <c r="AG21" i="18" s="1"/>
  <c r="R21" i="18"/>
  <c r="T21" i="18" s="1"/>
  <c r="U21" i="18" s="1"/>
  <c r="R13" i="18"/>
  <c r="T13" i="18" s="1"/>
  <c r="U13" i="18" s="1"/>
  <c r="K64" i="21"/>
  <c r="R28" i="18"/>
  <c r="T28" i="18" s="1"/>
  <c r="U28" i="18" s="1"/>
  <c r="R23" i="18"/>
  <c r="T23" i="18" s="1"/>
  <c r="U23" i="18" s="1"/>
  <c r="R29" i="18"/>
  <c r="T29" i="18" s="1"/>
  <c r="U29" i="18" s="1"/>
  <c r="AP15" i="18"/>
  <c r="AR15" i="18" s="1"/>
  <c r="AS15" i="18" s="1"/>
  <c r="AP14" i="18"/>
  <c r="AA37" i="18"/>
  <c r="F6" i="23" s="1"/>
  <c r="AD22" i="18"/>
  <c r="AF22" i="18" s="1"/>
  <c r="AG22" i="18" s="1"/>
  <c r="P37" i="18"/>
  <c r="G6" i="22" s="1"/>
  <c r="R12" i="18"/>
  <c r="T12" i="18" s="1"/>
  <c r="U12" i="18" s="1"/>
  <c r="R14" i="18"/>
  <c r="T14" i="18" s="1"/>
  <c r="U14" i="18" s="1"/>
  <c r="R15" i="18"/>
  <c r="T15" i="18" s="1"/>
  <c r="U15" i="18" s="1"/>
  <c r="R30" i="18"/>
  <c r="T30" i="18" s="1"/>
  <c r="U30" i="18" s="1"/>
  <c r="R32" i="18"/>
  <c r="T32" i="18" s="1"/>
  <c r="U32" i="18" s="1"/>
  <c r="AP16" i="18"/>
  <c r="AR16" i="18" s="1"/>
  <c r="AS16" i="18" s="1"/>
  <c r="AD16" i="18"/>
  <c r="AF16" i="18" s="1"/>
  <c r="AG16" i="18" s="1"/>
  <c r="AP20" i="18"/>
  <c r="AR20" i="18" s="1"/>
  <c r="AS20" i="18" s="1"/>
  <c r="AD20" i="18"/>
  <c r="AF20" i="18" s="1"/>
  <c r="AG20" i="18" s="1"/>
  <c r="AP24" i="18"/>
  <c r="AR24" i="18" s="1"/>
  <c r="AS24" i="18" s="1"/>
  <c r="AD24" i="18"/>
  <c r="AF24" i="18" s="1"/>
  <c r="AG24" i="18" s="1"/>
  <c r="AP37" i="18"/>
  <c r="AD32" i="18"/>
  <c r="AF32" i="18" s="1"/>
  <c r="AG32" i="18" s="1"/>
  <c r="AD37" i="18"/>
  <c r="I6" i="23" s="1"/>
  <c r="R16" i="18"/>
  <c r="T16" i="18" s="1"/>
  <c r="U16" i="18" s="1"/>
  <c r="AC37" i="18"/>
  <c r="H6" i="23" s="1"/>
  <c r="R31" i="18"/>
  <c r="T31" i="18" s="1"/>
  <c r="U31" i="18" s="1"/>
  <c r="J37" i="16"/>
  <c r="J16" i="16"/>
  <c r="B5" i="17" s="1"/>
  <c r="B6" i="17" s="1"/>
  <c r="B10" i="17" s="1"/>
  <c r="AI36" i="17"/>
  <c r="AH36" i="17"/>
  <c r="AG36" i="17"/>
  <c r="AF35" i="17"/>
  <c r="AF34" i="17"/>
  <c r="AI34" i="17"/>
  <c r="AH35" i="17"/>
  <c r="AE36" i="17"/>
  <c r="AI35" i="17"/>
  <c r="AE35" i="17"/>
  <c r="G12" i="25"/>
  <c r="I12" i="25"/>
  <c r="H12" i="25"/>
  <c r="E12" i="25"/>
  <c r="E11" i="25"/>
  <c r="I11" i="25"/>
  <c r="H11" i="25"/>
  <c r="F11" i="25"/>
  <c r="G11" i="25"/>
  <c r="I10" i="25"/>
  <c r="E10" i="25"/>
  <c r="H10" i="25"/>
  <c r="G10" i="25"/>
  <c r="F10" i="25"/>
  <c r="Z37" i="18"/>
  <c r="E6" i="23" s="1"/>
  <c r="AM37" i="18"/>
  <c r="AN37" i="18"/>
  <c r="AP21" i="18"/>
  <c r="AR21" i="18" s="1"/>
  <c r="AS21" i="18" s="1"/>
  <c r="AP22" i="18"/>
  <c r="AR22" i="18" s="1"/>
  <c r="AS22" i="18" s="1"/>
  <c r="AP23" i="18"/>
  <c r="AR23" i="18" s="1"/>
  <c r="AS23" i="18" s="1"/>
  <c r="AD15" i="18"/>
  <c r="AF15" i="18" s="1"/>
  <c r="AG15" i="18" s="1"/>
  <c r="AP13" i="18"/>
  <c r="AR13" i="18" s="1"/>
  <c r="AS13" i="18" s="1"/>
  <c r="AD14" i="18"/>
  <c r="AF14" i="18" s="1"/>
  <c r="AG14" i="18" s="1"/>
  <c r="AP12" i="18"/>
  <c r="AR12" i="18" s="1"/>
  <c r="AS12" i="18" s="1"/>
  <c r="AR14" i="18"/>
  <c r="AS14" i="18" s="1"/>
  <c r="AP28" i="18"/>
  <c r="AR28" i="18" s="1"/>
  <c r="AS28" i="18" s="1"/>
  <c r="AD29" i="18"/>
  <c r="AF29" i="18" s="1"/>
  <c r="AG29" i="18" s="1"/>
  <c r="AD28" i="18"/>
  <c r="AF28" i="18" s="1"/>
  <c r="AG28" i="18" s="1"/>
  <c r="AD31" i="18"/>
  <c r="AF31" i="18" s="1"/>
  <c r="AG31" i="18" s="1"/>
  <c r="AB37" i="18"/>
  <c r="G6" i="23" s="1"/>
  <c r="AI7" i="17"/>
  <c r="AI14" i="17" s="1"/>
  <c r="AI21" i="17" s="1"/>
  <c r="AG28" i="17"/>
  <c r="AG35" i="17" s="1"/>
  <c r="AG27" i="17"/>
  <c r="AG34" i="17" s="1"/>
  <c r="AH27" i="17"/>
  <c r="AH34" i="17" s="1"/>
  <c r="O22" i="17"/>
  <c r="C48" i="17"/>
  <c r="B48" i="17"/>
  <c r="J15" i="16"/>
  <c r="C16" i="21"/>
  <c r="D10" i="21"/>
  <c r="D16" i="21" s="1"/>
  <c r="G16" i="21"/>
  <c r="H10" i="21"/>
  <c r="H16" i="21" s="1"/>
  <c r="K16" i="21"/>
  <c r="L10" i="21"/>
  <c r="L16" i="21" s="1"/>
  <c r="O16" i="21"/>
  <c r="P10" i="21"/>
  <c r="P16" i="21" s="1"/>
  <c r="S16" i="21"/>
  <c r="T10" i="21"/>
  <c r="T16" i="21" s="1"/>
  <c r="C25" i="21"/>
  <c r="D19" i="21"/>
  <c r="D25" i="21" s="1"/>
  <c r="G25" i="21"/>
  <c r="H19" i="21"/>
  <c r="H25" i="21" s="1"/>
  <c r="K25" i="21"/>
  <c r="L19" i="21"/>
  <c r="L25" i="21" s="1"/>
  <c r="O25" i="21"/>
  <c r="P19" i="21"/>
  <c r="P25" i="21" s="1"/>
  <c r="S25" i="21"/>
  <c r="T19" i="21"/>
  <c r="T25" i="21" s="1"/>
  <c r="C34" i="21"/>
  <c r="D28" i="21"/>
  <c r="D34" i="21" s="1"/>
  <c r="G34" i="21"/>
  <c r="H28" i="21"/>
  <c r="H34" i="21" s="1"/>
  <c r="K34" i="21"/>
  <c r="L28" i="21"/>
  <c r="L34" i="21" s="1"/>
  <c r="O34" i="21"/>
  <c r="P28" i="21"/>
  <c r="P34" i="21" s="1"/>
  <c r="S34" i="21"/>
  <c r="T28" i="21"/>
  <c r="T34" i="21" s="1"/>
  <c r="C45" i="21"/>
  <c r="D37" i="21"/>
  <c r="D45" i="21" s="1"/>
  <c r="G45" i="21"/>
  <c r="H37" i="21"/>
  <c r="H45" i="21" s="1"/>
  <c r="L37" i="21"/>
  <c r="L45" i="21" s="1"/>
  <c r="P37" i="21"/>
  <c r="T37" i="21"/>
  <c r="C55" i="21"/>
  <c r="D48" i="21"/>
  <c r="D55" i="21" s="1"/>
  <c r="G55" i="21"/>
  <c r="H48" i="21"/>
  <c r="H55" i="21" s="1"/>
  <c r="L48" i="21"/>
  <c r="L55" i="21" s="1"/>
  <c r="P48" i="21"/>
  <c r="P55" i="21" s="1"/>
  <c r="T48" i="21"/>
  <c r="T55" i="21" s="1"/>
  <c r="C64" i="21"/>
  <c r="D58" i="21"/>
  <c r="D64" i="21" s="1"/>
  <c r="G64" i="21"/>
  <c r="H58" i="21"/>
  <c r="H64" i="21" s="1"/>
  <c r="L58" i="21"/>
  <c r="L64" i="21" s="1"/>
  <c r="O64" i="21"/>
  <c r="P58" i="21"/>
  <c r="P64" i="21" s="1"/>
  <c r="S64" i="21"/>
  <c r="T58" i="21"/>
  <c r="T64" i="21" s="1"/>
  <c r="C73" i="21"/>
  <c r="D67" i="21"/>
  <c r="D73" i="21" s="1"/>
  <c r="G73" i="21"/>
  <c r="H67" i="21"/>
  <c r="H73" i="21" s="1"/>
  <c r="K73" i="21"/>
  <c r="L67" i="21"/>
  <c r="L73" i="21" s="1"/>
  <c r="O73" i="21"/>
  <c r="P67" i="21"/>
  <c r="P73" i="21" s="1"/>
  <c r="S73" i="21"/>
  <c r="T67" i="21"/>
  <c r="T73" i="21" s="1"/>
  <c r="W38" i="17"/>
  <c r="AE15" i="17"/>
  <c r="AE22" i="17" s="1"/>
  <c r="AE14" i="17"/>
  <c r="AF14" i="17"/>
  <c r="AG14" i="17"/>
  <c r="AG21" i="17" s="1"/>
  <c r="AH14" i="17"/>
  <c r="AH21" i="17" s="1"/>
  <c r="AF15" i="17"/>
  <c r="AF22" i="17" s="1"/>
  <c r="AG15" i="17"/>
  <c r="AG22" i="17" s="1"/>
  <c r="AH15" i="17"/>
  <c r="AH22" i="17" s="1"/>
  <c r="AI15" i="17"/>
  <c r="AI22" i="17" s="1"/>
  <c r="AG13" i="17"/>
  <c r="AG20" i="17" s="1"/>
  <c r="AH13" i="17"/>
  <c r="AH20" i="17" s="1"/>
  <c r="AI13" i="17"/>
  <c r="AI20" i="17" s="1"/>
  <c r="F10" i="15" a="1"/>
  <c r="F10" i="15" s="1"/>
  <c r="G10" i="15" a="1"/>
  <c r="G10" i="15" s="1"/>
  <c r="H10" i="15" a="1"/>
  <c r="H10" i="15" s="1"/>
  <c r="I10" i="15" a="1"/>
  <c r="I10" i="15" s="1"/>
  <c r="E10" i="15" a="1"/>
  <c r="E10" i="15" s="1"/>
  <c r="C23" i="20"/>
  <c r="C24" i="20"/>
  <c r="C19" i="20"/>
  <c r="C10" i="20"/>
  <c r="C4" i="20"/>
  <c r="B2" i="20"/>
  <c r="C1" i="20" s="1"/>
  <c r="D3" i="19"/>
  <c r="D4" i="19"/>
  <c r="D5" i="19"/>
  <c r="D7" i="19"/>
  <c r="D8" i="19"/>
  <c r="D9" i="19"/>
  <c r="D10" i="19"/>
  <c r="D12" i="19"/>
  <c r="D13" i="19"/>
  <c r="D14" i="19"/>
  <c r="D15" i="19"/>
  <c r="D17" i="19"/>
  <c r="D16" i="19" s="1"/>
  <c r="D18" i="19"/>
  <c r="D19" i="19"/>
  <c r="D20" i="19"/>
  <c r="D21" i="19"/>
  <c r="D22" i="19"/>
  <c r="H60" i="15"/>
  <c r="I60" i="15" s="1"/>
  <c r="H53" i="15"/>
  <c r="I53" i="15" s="1"/>
  <c r="H43" i="15"/>
  <c r="I43" i="15" s="1"/>
  <c r="H35" i="15"/>
  <c r="I35" i="15" s="1"/>
  <c r="H3" i="15"/>
  <c r="I3" i="15" s="1"/>
  <c r="I44" i="29" l="1"/>
  <c r="I36" i="29" s="1"/>
  <c r="I39" i="29" s="1"/>
  <c r="I44" i="28"/>
  <c r="I36" i="28" s="1"/>
  <c r="I39" i="28" s="1"/>
  <c r="I44" i="15"/>
  <c r="I36" i="15" s="1"/>
  <c r="I39" i="15" s="1"/>
  <c r="I44" i="24"/>
  <c r="D43" i="18"/>
  <c r="E43" i="18" s="1"/>
  <c r="C40" i="18"/>
  <c r="D40" i="18"/>
  <c r="E40" i="18"/>
  <c r="E44" i="28"/>
  <c r="E36" i="28" s="1"/>
  <c r="E44" i="29"/>
  <c r="E36" i="29" s="1"/>
  <c r="E44" i="15"/>
  <c r="E44" i="24"/>
  <c r="H4" i="21"/>
  <c r="P45" i="21"/>
  <c r="L4" i="21"/>
  <c r="D45" i="18"/>
  <c r="P4" i="21"/>
  <c r="D11" i="19"/>
  <c r="S45" i="21"/>
  <c r="K45" i="21"/>
  <c r="T45" i="21"/>
  <c r="T4" i="21" s="1"/>
  <c r="F52" i="17" s="1"/>
  <c r="D4" i="21"/>
  <c r="B52" i="17" s="1"/>
  <c r="O45" i="21"/>
  <c r="F48" i="17"/>
  <c r="E48" i="17"/>
  <c r="D48" i="17"/>
  <c r="AA40" i="18"/>
  <c r="F44" i="23" s="1"/>
  <c r="O40" i="18"/>
  <c r="F44" i="22" s="1"/>
  <c r="P44" i="18"/>
  <c r="N40" i="18"/>
  <c r="E44" i="22" s="1"/>
  <c r="O24" i="17"/>
  <c r="B16" i="17"/>
  <c r="B20" i="17" s="1"/>
  <c r="C16" i="17"/>
  <c r="C20" i="17" s="1"/>
  <c r="D16" i="17"/>
  <c r="D20" i="17" s="1"/>
  <c r="F60" i="17"/>
  <c r="E60" i="17"/>
  <c r="D60" i="17"/>
  <c r="P40" i="18"/>
  <c r="G44" i="22" s="1"/>
  <c r="Q40" i="18"/>
  <c r="H44" i="22" s="1"/>
  <c r="R40" i="18"/>
  <c r="I44" i="22" s="1"/>
  <c r="AI42" i="17"/>
  <c r="AG43" i="17"/>
  <c r="Z40" i="18"/>
  <c r="E44" i="23" s="1"/>
  <c r="AB44" i="18"/>
  <c r="AD40" i="18"/>
  <c r="I44" i="23" s="1"/>
  <c r="AP29" i="18"/>
  <c r="AR29" i="18" s="1"/>
  <c r="AS29" i="18" s="1"/>
  <c r="AM40" i="18" s="1"/>
  <c r="F44" i="25" s="1"/>
  <c r="AB43" i="18"/>
  <c r="P43" i="18"/>
  <c r="AP32" i="18"/>
  <c r="AR32" i="18" s="1"/>
  <c r="AS32" i="18" s="1"/>
  <c r="AP40" i="18" s="1"/>
  <c r="I44" i="25" s="1"/>
  <c r="AO37" i="18"/>
  <c r="P45" i="18"/>
  <c r="AF41" i="17"/>
  <c r="AI43" i="17"/>
  <c r="AH43" i="17"/>
  <c r="AF43" i="17"/>
  <c r="AE43" i="17"/>
  <c r="AI41" i="17"/>
  <c r="AI45" i="17" s="1"/>
  <c r="F56" i="17" s="1"/>
  <c r="AE41" i="17"/>
  <c r="AH42" i="17"/>
  <c r="AG41" i="17"/>
  <c r="AH41" i="17"/>
  <c r="AN43" i="18"/>
  <c r="AP30" i="18"/>
  <c r="AR30" i="18" s="1"/>
  <c r="AS30" i="18" s="1"/>
  <c r="AN40" i="18" s="1"/>
  <c r="G44" i="25" s="1"/>
  <c r="AN44" i="18"/>
  <c r="AC40" i="18"/>
  <c r="H44" i="23" s="1"/>
  <c r="AB40" i="18"/>
  <c r="G44" i="23" s="1"/>
  <c r="AL40" i="18"/>
  <c r="E44" i="25" s="1"/>
  <c r="AB45" i="18"/>
  <c r="AG42" i="17"/>
  <c r="D2" i="19"/>
  <c r="F44" i="17"/>
  <c r="D6" i="19"/>
  <c r="E52" i="17"/>
  <c r="D52" i="17"/>
  <c r="C52" i="17"/>
  <c r="AE42" i="17"/>
  <c r="AF21" i="17"/>
  <c r="AF42" i="17" s="1"/>
  <c r="H44" i="29" l="1"/>
  <c r="H36" i="29" s="1"/>
  <c r="I38" i="29" s="1"/>
  <c r="I40" i="29" s="1"/>
  <c r="I62" i="29" s="1"/>
  <c r="H44" i="28"/>
  <c r="H36" i="28" s="1"/>
  <c r="H44" i="24"/>
  <c r="H44" i="15"/>
  <c r="E44" i="17" s="1"/>
  <c r="G44" i="29"/>
  <c r="G36" i="29" s="1"/>
  <c r="H38" i="29" s="1"/>
  <c r="H40" i="29" s="1"/>
  <c r="H62" i="29" s="1"/>
  <c r="G44" i="28"/>
  <c r="G36" i="28" s="1"/>
  <c r="G44" i="24"/>
  <c r="G44" i="15"/>
  <c r="D44" i="17" s="1"/>
  <c r="E36" i="15"/>
  <c r="B44" i="17"/>
  <c r="F38" i="28"/>
  <c r="F40" i="28" s="1"/>
  <c r="F62" i="28" s="1"/>
  <c r="F44" i="28"/>
  <c r="F36" i="28" s="1"/>
  <c r="F44" i="29"/>
  <c r="F36" i="29" s="1"/>
  <c r="G38" i="29" s="1"/>
  <c r="G40" i="29" s="1"/>
  <c r="G62" i="29" s="1"/>
  <c r="F44" i="15"/>
  <c r="C44" i="17" s="1"/>
  <c r="F44" i="24"/>
  <c r="E45" i="18"/>
  <c r="E8" i="29" a="1"/>
  <c r="F8" i="29" a="1"/>
  <c r="F8" i="29" s="1"/>
  <c r="F46" i="29" s="1"/>
  <c r="C15" i="29"/>
  <c r="D36" i="29" s="1"/>
  <c r="C15" i="28"/>
  <c r="D36" i="28" s="1"/>
  <c r="C15" i="15"/>
  <c r="D36" i="15" s="1"/>
  <c r="D38" i="15" s="1"/>
  <c r="E44" i="18"/>
  <c r="E8" i="29"/>
  <c r="E46" i="29" s="1"/>
  <c r="H8" i="29"/>
  <c r="I8" i="29"/>
  <c r="G8" i="29"/>
  <c r="G46" i="29" s="1"/>
  <c r="I46" i="29"/>
  <c r="H46" i="29"/>
  <c r="I8" i="28"/>
  <c r="G8" i="28"/>
  <c r="H8" i="28"/>
  <c r="G46" i="28" a="1"/>
  <c r="G46" i="28" s="1"/>
  <c r="F8" i="28" a="1"/>
  <c r="F8" i="28" s="1"/>
  <c r="E8" i="28" a="1"/>
  <c r="E8" i="28" s="1"/>
  <c r="I46" i="28" a="1"/>
  <c r="I46" i="28" s="1"/>
  <c r="F46" i="28" a="1"/>
  <c r="F46" i="28" s="1"/>
  <c r="E46" i="28" a="1"/>
  <c r="E46" i="28" s="1"/>
  <c r="H46" i="28" a="1"/>
  <c r="H46" i="28" s="1"/>
  <c r="D37" i="29"/>
  <c r="D37" i="28"/>
  <c r="G8" i="15"/>
  <c r="G8" i="22" s="1"/>
  <c r="I8" i="15"/>
  <c r="I8" i="24" s="1"/>
  <c r="H8" i="15"/>
  <c r="F64" i="17"/>
  <c r="F46" i="24" a="1"/>
  <c r="F46" i="24" s="1"/>
  <c r="G46" i="15" a="1"/>
  <c r="G46" i="15" s="1"/>
  <c r="E46" i="22" a="1"/>
  <c r="E46" i="22" s="1"/>
  <c r="I46" i="22" a="1"/>
  <c r="I46" i="22" s="1"/>
  <c r="AC43" i="18"/>
  <c r="Q44" i="18"/>
  <c r="AE45" i="17"/>
  <c r="B56" i="17" s="1"/>
  <c r="AF45" i="17"/>
  <c r="C56" i="17" s="1"/>
  <c r="AP31" i="18"/>
  <c r="AR31" i="18" s="1"/>
  <c r="AS31" i="18" s="1"/>
  <c r="AO40" i="18" s="1"/>
  <c r="H44" i="25" s="1"/>
  <c r="Q43" i="18"/>
  <c r="Q45" i="18"/>
  <c r="AG45" i="17"/>
  <c r="D56" i="17" s="1"/>
  <c r="D64" i="17" s="1"/>
  <c r="I46" i="23" a="1"/>
  <c r="I46" i="23" s="1"/>
  <c r="F46" i="25" a="1"/>
  <c r="F46" i="25" s="1"/>
  <c r="E46" i="23" a="1"/>
  <c r="E46" i="23" s="1"/>
  <c r="G46" i="25" a="1"/>
  <c r="G46" i="25" s="1"/>
  <c r="I46" i="25" a="1"/>
  <c r="I46" i="25" s="1"/>
  <c r="F46" i="23" a="1"/>
  <c r="F46" i="23" s="1"/>
  <c r="F8" i="15" a="1"/>
  <c r="F8" i="15" s="1"/>
  <c r="F8" i="25" s="1"/>
  <c r="G46" i="24" a="1"/>
  <c r="G46" i="24" s="1"/>
  <c r="G46" i="23" a="1"/>
  <c r="G46" i="23" s="1"/>
  <c r="F46" i="22" a="1"/>
  <c r="F46" i="22" s="1"/>
  <c r="G46" i="22" a="1"/>
  <c r="G46" i="22" s="1"/>
  <c r="H46" i="24" a="1"/>
  <c r="H46" i="24" s="1"/>
  <c r="H46" i="23" a="1"/>
  <c r="H46" i="23" s="1"/>
  <c r="H46" i="22" a="1"/>
  <c r="H46" i="22" s="1"/>
  <c r="I46" i="24" a="1"/>
  <c r="I46" i="24" s="1"/>
  <c r="E46" i="24" a="1"/>
  <c r="E46" i="24" s="1"/>
  <c r="E46" i="25" a="1"/>
  <c r="E46" i="25" s="1"/>
  <c r="I36" i="22"/>
  <c r="I39" i="22" s="1"/>
  <c r="H46" i="25" a="1"/>
  <c r="H46" i="25" s="1"/>
  <c r="AH45" i="17"/>
  <c r="E56" i="17" s="1"/>
  <c r="E64" i="17" s="1"/>
  <c r="H46" i="15" a="1"/>
  <c r="H46" i="15" s="1"/>
  <c r="E8" i="15" a="1"/>
  <c r="E8" i="15" s="1"/>
  <c r="F46" i="15" a="1"/>
  <c r="F46" i="15" s="1"/>
  <c r="I46" i="15" a="1"/>
  <c r="I46" i="15" s="1"/>
  <c r="E46" i="15" a="1"/>
  <c r="E46" i="15" s="1"/>
  <c r="AC45" i="18"/>
  <c r="AC44" i="18"/>
  <c r="D38" i="28" l="1"/>
  <c r="D40" i="28" s="1"/>
  <c r="D62" i="28" s="1"/>
  <c r="E38" i="28"/>
  <c r="E40" i="28" s="1"/>
  <c r="E62" i="28" s="1"/>
  <c r="D38" i="29"/>
  <c r="D40" i="29" s="1"/>
  <c r="D62" i="29" s="1"/>
  <c r="E38" i="29"/>
  <c r="E40" i="29" s="1"/>
  <c r="E62" i="29" s="1"/>
  <c r="E38" i="15"/>
  <c r="E40" i="15" s="1"/>
  <c r="E62" i="15" s="1"/>
  <c r="B64" i="17"/>
  <c r="E7" i="15" s="1"/>
  <c r="F38" i="29"/>
  <c r="F40" i="29" s="1"/>
  <c r="F62" i="29" s="1"/>
  <c r="H38" i="28"/>
  <c r="H40" i="28" s="1"/>
  <c r="H62" i="28" s="1"/>
  <c r="I38" i="28"/>
  <c r="I40" i="28" s="1"/>
  <c r="I62" i="28" s="1"/>
  <c r="G38" i="28"/>
  <c r="G40" i="28" s="1"/>
  <c r="G62" i="28" s="1"/>
  <c r="H7" i="24"/>
  <c r="H45" i="24" s="1"/>
  <c r="H7" i="23"/>
  <c r="H7" i="22"/>
  <c r="H45" i="22" s="1"/>
  <c r="G7" i="22"/>
  <c r="G7" i="24"/>
  <c r="G7" i="23"/>
  <c r="I7" i="24"/>
  <c r="I45" i="24" s="1"/>
  <c r="I7" i="22"/>
  <c r="I45" i="22" s="1"/>
  <c r="I7" i="23"/>
  <c r="I45" i="23" s="1"/>
  <c r="H45" i="23"/>
  <c r="G45" i="24"/>
  <c r="G45" i="22"/>
  <c r="G8" i="24"/>
  <c r="D63" i="28"/>
  <c r="D64" i="28" s="1"/>
  <c r="D63" i="29"/>
  <c r="D64" i="29" s="1"/>
  <c r="G45" i="23"/>
  <c r="G7" i="29"/>
  <c r="G45" i="29" s="1"/>
  <c r="G7" i="28"/>
  <c r="G45" i="28" s="1"/>
  <c r="G8" i="23"/>
  <c r="H7" i="29"/>
  <c r="H45" i="29" s="1"/>
  <c r="H7" i="28"/>
  <c r="H45" i="28" s="1"/>
  <c r="I7" i="28"/>
  <c r="I45" i="28" s="1"/>
  <c r="I7" i="29"/>
  <c r="I45" i="29" s="1"/>
  <c r="G8" i="25"/>
  <c r="AN45" i="18"/>
  <c r="AO45" i="18" s="1"/>
  <c r="C64" i="17"/>
  <c r="D63" i="15"/>
  <c r="D63" i="25"/>
  <c r="D63" i="22"/>
  <c r="D63" i="23"/>
  <c r="D63" i="24"/>
  <c r="I8" i="25"/>
  <c r="I8" i="22"/>
  <c r="I8" i="23"/>
  <c r="F8" i="23"/>
  <c r="D37" i="15"/>
  <c r="C15" i="23"/>
  <c r="C15" i="24"/>
  <c r="C15" i="25"/>
  <c r="C15" i="22"/>
  <c r="H8" i="24"/>
  <c r="H8" i="25"/>
  <c r="H8" i="23"/>
  <c r="H8" i="22"/>
  <c r="F8" i="24"/>
  <c r="F8" i="22"/>
  <c r="G36" i="15"/>
  <c r="D40" i="15"/>
  <c r="D62" i="15" s="1"/>
  <c r="G36" i="22"/>
  <c r="F36" i="22"/>
  <c r="H36" i="22"/>
  <c r="I38" i="22" s="1"/>
  <c r="I40" i="22" s="1"/>
  <c r="I62" i="22" s="1"/>
  <c r="E36" i="22"/>
  <c r="H36" i="15"/>
  <c r="F36" i="15"/>
  <c r="F38" i="15" s="1"/>
  <c r="F40" i="15" s="1"/>
  <c r="F62" i="15" s="1"/>
  <c r="E8" i="23"/>
  <c r="E8" i="25"/>
  <c r="E8" i="22"/>
  <c r="E8" i="24"/>
  <c r="E36" i="24"/>
  <c r="H36" i="24"/>
  <c r="G36" i="24"/>
  <c r="I36" i="24"/>
  <c r="I39" i="24" s="1"/>
  <c r="F36" i="24"/>
  <c r="I7" i="15"/>
  <c r="I45" i="15" s="1"/>
  <c r="I7" i="25"/>
  <c r="I45" i="25" s="1"/>
  <c r="H7" i="15"/>
  <c r="H45" i="15" s="1"/>
  <c r="H7" i="25"/>
  <c r="H45" i="25" s="1"/>
  <c r="G7" i="15"/>
  <c r="G45" i="15" s="1"/>
  <c r="G7" i="25"/>
  <c r="G45" i="25" s="1"/>
  <c r="F47" i="25" a="1"/>
  <c r="F47" i="25" s="1"/>
  <c r="G36" i="25"/>
  <c r="I36" i="25"/>
  <c r="I39" i="25" s="1"/>
  <c r="E36" i="25"/>
  <c r="H36" i="25"/>
  <c r="F36" i="25"/>
  <c r="I36" i="23"/>
  <c r="I39" i="23" s="1"/>
  <c r="H36" i="23"/>
  <c r="G36" i="23"/>
  <c r="F36" i="23"/>
  <c r="E36" i="23"/>
  <c r="E7" i="29" l="1"/>
  <c r="E45" i="29" s="1"/>
  <c r="E7" i="25"/>
  <c r="E45" i="25" s="1"/>
  <c r="E45" i="15"/>
  <c r="B78" i="17"/>
  <c r="E7" i="22"/>
  <c r="E45" i="22" s="1"/>
  <c r="E7" i="23"/>
  <c r="E45" i="23" s="1"/>
  <c r="E7" i="28"/>
  <c r="E45" i="28" s="1"/>
  <c r="E7" i="24"/>
  <c r="E45" i="24" s="1"/>
  <c r="E48" i="24" s="1"/>
  <c r="F7" i="24"/>
  <c r="F45" i="24" s="1"/>
  <c r="F7" i="22"/>
  <c r="F7" i="23"/>
  <c r="D28" i="15"/>
  <c r="D37" i="24"/>
  <c r="D36" i="24"/>
  <c r="D38" i="24" s="1"/>
  <c r="D40" i="24" s="1"/>
  <c r="D62" i="24" s="1"/>
  <c r="D64" i="24" s="1"/>
  <c r="D66" i="24" s="1"/>
  <c r="D37" i="25"/>
  <c r="D36" i="25"/>
  <c r="D38" i="25" s="1"/>
  <c r="D40" i="25" s="1"/>
  <c r="D62" i="25" s="1"/>
  <c r="D64" i="25" s="1"/>
  <c r="D66" i="25" s="1"/>
  <c r="D37" i="23"/>
  <c r="D36" i="23"/>
  <c r="D38" i="23" s="1"/>
  <c r="D40" i="23" s="1"/>
  <c r="D62" i="23" s="1"/>
  <c r="D64" i="23" s="1"/>
  <c r="D66" i="23" s="1"/>
  <c r="D37" i="22"/>
  <c r="D36" i="22"/>
  <c r="D38" i="22" s="1"/>
  <c r="D40" i="22" s="1"/>
  <c r="D62" i="22" s="1"/>
  <c r="D64" i="22" s="1"/>
  <c r="D66" i="22" s="1"/>
  <c r="H38" i="15"/>
  <c r="H40" i="15" s="1"/>
  <c r="H62" i="15" s="1"/>
  <c r="AO44" i="18"/>
  <c r="AO43" i="18"/>
  <c r="F47" i="23" a="1"/>
  <c r="F47" i="23" s="1"/>
  <c r="F55" i="23" s="1"/>
  <c r="I47" i="15" a="1"/>
  <c r="I47" i="15" s="1"/>
  <c r="I55" i="15" s="1"/>
  <c r="H47" i="25" a="1"/>
  <c r="H47" i="25" s="1"/>
  <c r="H55" i="25" s="1"/>
  <c r="G47" i="23" a="1"/>
  <c r="G47" i="23" s="1"/>
  <c r="G48" i="23" s="1"/>
  <c r="H47" i="24" a="1"/>
  <c r="H47" i="24" s="1"/>
  <c r="H47" i="23" a="1"/>
  <c r="H47" i="23" s="1"/>
  <c r="H55" i="23" s="1"/>
  <c r="I47" i="24" a="1"/>
  <c r="I47" i="24" s="1"/>
  <c r="I48" i="24" s="1"/>
  <c r="E47" i="25" a="1"/>
  <c r="E47" i="25" s="1"/>
  <c r="E55" i="25" s="1"/>
  <c r="E47" i="23" a="1"/>
  <c r="E47" i="23" s="1"/>
  <c r="E55" i="23" s="1"/>
  <c r="G47" i="25" a="1"/>
  <c r="G47" i="25" s="1"/>
  <c r="G48" i="25" s="1"/>
  <c r="I47" i="22" a="1"/>
  <c r="I47" i="22" s="1"/>
  <c r="I48" i="22" s="1"/>
  <c r="G47" i="22" a="1"/>
  <c r="G47" i="22" s="1"/>
  <c r="G55" i="22" s="1"/>
  <c r="H47" i="15" a="1"/>
  <c r="H47" i="15" s="1"/>
  <c r="H55" i="15" s="1"/>
  <c r="I47" i="23" a="1"/>
  <c r="I47" i="23" s="1"/>
  <c r="I48" i="23" s="1"/>
  <c r="E47" i="24" a="1"/>
  <c r="E47" i="24" s="1"/>
  <c r="D64" i="15"/>
  <c r="D66" i="15" s="1"/>
  <c r="F47" i="24" a="1"/>
  <c r="F47" i="24" s="1"/>
  <c r="F55" i="24" s="1"/>
  <c r="E47" i="22" a="1"/>
  <c r="E47" i="22" s="1"/>
  <c r="E55" i="22" s="1"/>
  <c r="F47" i="22" a="1"/>
  <c r="F47" i="22" s="1"/>
  <c r="F55" i="22" s="1"/>
  <c r="D66" i="28"/>
  <c r="F47" i="29" a="1"/>
  <c r="F47" i="29" s="1"/>
  <c r="F55" i="29" s="1"/>
  <c r="G47" i="29" a="1"/>
  <c r="G47" i="29" s="1"/>
  <c r="G55" i="29" s="1"/>
  <c r="G47" i="28" a="1"/>
  <c r="G47" i="28" s="1"/>
  <c r="G55" i="28" s="1"/>
  <c r="E47" i="28" a="1"/>
  <c r="E47" i="28" s="1"/>
  <c r="E55" i="28" s="1"/>
  <c r="E47" i="29" a="1"/>
  <c r="E47" i="29" s="1"/>
  <c r="E55" i="29" s="1"/>
  <c r="C21" i="28"/>
  <c r="F47" i="28" a="1"/>
  <c r="F47" i="28" s="1"/>
  <c r="F55" i="28" s="1"/>
  <c r="H47" i="29" a="1"/>
  <c r="H47" i="29" s="1"/>
  <c r="H55" i="29" s="1"/>
  <c r="I47" i="28" a="1"/>
  <c r="I47" i="28" s="1"/>
  <c r="I55" i="28" s="1"/>
  <c r="I47" i="29" a="1"/>
  <c r="I47" i="29" s="1"/>
  <c r="I55" i="29" s="1"/>
  <c r="H47" i="28" a="1"/>
  <c r="H47" i="28" s="1"/>
  <c r="H55" i="28" s="1"/>
  <c r="C21" i="29"/>
  <c r="F47" i="15" a="1"/>
  <c r="F47" i="15" s="1"/>
  <c r="F55" i="15" s="1"/>
  <c r="F45" i="23"/>
  <c r="F45" i="22"/>
  <c r="F7" i="29"/>
  <c r="F45" i="29" s="1"/>
  <c r="F7" i="28"/>
  <c r="F45" i="28" s="1"/>
  <c r="D66" i="29"/>
  <c r="G47" i="15" a="1"/>
  <c r="G47" i="15" s="1"/>
  <c r="G55" i="15" s="1"/>
  <c r="G47" i="24" a="1"/>
  <c r="G47" i="24" s="1"/>
  <c r="G48" i="24" s="1"/>
  <c r="E47" i="15" a="1"/>
  <c r="E47" i="15" s="1"/>
  <c r="E55" i="15" s="1"/>
  <c r="H47" i="22" a="1"/>
  <c r="H47" i="22" s="1"/>
  <c r="H48" i="22" s="1"/>
  <c r="C21" i="25"/>
  <c r="I47" i="25" a="1"/>
  <c r="I47" i="25" s="1"/>
  <c r="I55" i="25" s="1"/>
  <c r="F7" i="25"/>
  <c r="F45" i="25" s="1"/>
  <c r="F48" i="25" s="1"/>
  <c r="F7" i="15"/>
  <c r="F45" i="15" s="1"/>
  <c r="G38" i="15"/>
  <c r="G40" i="15" s="1"/>
  <c r="G62" i="15" s="1"/>
  <c r="G38" i="22"/>
  <c r="G40" i="22" s="1"/>
  <c r="G62" i="22" s="1"/>
  <c r="F38" i="22"/>
  <c r="F40" i="22" s="1"/>
  <c r="F62" i="22" s="1"/>
  <c r="I38" i="15"/>
  <c r="I40" i="15" s="1"/>
  <c r="I62" i="15" s="1"/>
  <c r="H38" i="22"/>
  <c r="H40" i="22" s="1"/>
  <c r="H62" i="22" s="1"/>
  <c r="G38" i="24"/>
  <c r="G40" i="24" s="1"/>
  <c r="G62" i="24" s="1"/>
  <c r="H38" i="24"/>
  <c r="H40" i="24" s="1"/>
  <c r="H62" i="24" s="1"/>
  <c r="I38" i="24"/>
  <c r="I40" i="24" s="1"/>
  <c r="I62" i="24" s="1"/>
  <c r="F38" i="24"/>
  <c r="F40" i="24" s="1"/>
  <c r="F62" i="24" s="1"/>
  <c r="H55" i="24"/>
  <c r="H48" i="24"/>
  <c r="F55" i="25"/>
  <c r="E48" i="23"/>
  <c r="E55" i="24"/>
  <c r="H38" i="23"/>
  <c r="H40" i="23" s="1"/>
  <c r="H62" i="23" s="1"/>
  <c r="G38" i="23"/>
  <c r="G40" i="23" s="1"/>
  <c r="G62" i="23" s="1"/>
  <c r="I38" i="25"/>
  <c r="I40" i="25" s="1"/>
  <c r="I62" i="25" s="1"/>
  <c r="H38" i="25"/>
  <c r="H40" i="25" s="1"/>
  <c r="H62" i="25" s="1"/>
  <c r="F38" i="25"/>
  <c r="F40" i="25" s="1"/>
  <c r="F62" i="25" s="1"/>
  <c r="E38" i="25"/>
  <c r="E40" i="25" s="1"/>
  <c r="E62" i="25" s="1"/>
  <c r="E38" i="23"/>
  <c r="E40" i="23" s="1"/>
  <c r="E62" i="23" s="1"/>
  <c r="F38" i="23"/>
  <c r="F40" i="23" s="1"/>
  <c r="F62" i="23" s="1"/>
  <c r="I38" i="23"/>
  <c r="I40" i="23" s="1"/>
  <c r="I62" i="23" s="1"/>
  <c r="G38" i="25"/>
  <c r="G40" i="25" s="1"/>
  <c r="G62" i="25" s="1"/>
  <c r="E38" i="24" l="1"/>
  <c r="E40" i="24" s="1"/>
  <c r="E62" i="24" s="1"/>
  <c r="I48" i="15"/>
  <c r="I54" i="15" s="1"/>
  <c r="G48" i="22"/>
  <c r="G54" i="22" s="1"/>
  <c r="E38" i="22"/>
  <c r="E40" i="22" s="1"/>
  <c r="E62" i="22" s="1"/>
  <c r="G55" i="23"/>
  <c r="I55" i="23"/>
  <c r="H24" i="25"/>
  <c r="F24" i="25"/>
  <c r="E24" i="25"/>
  <c r="E25" i="25" s="1"/>
  <c r="G24" i="25"/>
  <c r="I24" i="25"/>
  <c r="G24" i="29"/>
  <c r="E24" i="29"/>
  <c r="E25" i="29" s="1"/>
  <c r="H24" i="29"/>
  <c r="F24" i="29"/>
  <c r="I24" i="29"/>
  <c r="D28" i="23"/>
  <c r="C21" i="23"/>
  <c r="D28" i="24"/>
  <c r="C21" i="24"/>
  <c r="D28" i="22"/>
  <c r="C21" i="22"/>
  <c r="I24" i="28"/>
  <c r="E24" i="28"/>
  <c r="E25" i="28" s="1"/>
  <c r="H24" i="28"/>
  <c r="F24" i="28"/>
  <c r="G24" i="28"/>
  <c r="H48" i="25"/>
  <c r="H54" i="25" s="1"/>
  <c r="H48" i="15"/>
  <c r="H54" i="15" s="1"/>
  <c r="H48" i="23"/>
  <c r="H49" i="23" s="1"/>
  <c r="H56" i="23" s="1"/>
  <c r="E48" i="25"/>
  <c r="E49" i="25" s="1"/>
  <c r="I55" i="24"/>
  <c r="D28" i="25"/>
  <c r="G55" i="25"/>
  <c r="F48" i="29"/>
  <c r="F54" i="29" s="1"/>
  <c r="F48" i="23"/>
  <c r="F49" i="23" s="1"/>
  <c r="F56" i="23" s="1"/>
  <c r="I48" i="25"/>
  <c r="I54" i="25" s="1"/>
  <c r="I55" i="22"/>
  <c r="F48" i="15"/>
  <c r="F49" i="15" s="1"/>
  <c r="F56" i="15" s="1"/>
  <c r="F48" i="28"/>
  <c r="F49" i="28" s="1"/>
  <c r="F56" i="28" s="1"/>
  <c r="G48" i="29"/>
  <c r="G54" i="29" s="1"/>
  <c r="G55" i="24"/>
  <c r="G48" i="28"/>
  <c r="G54" i="28" s="1"/>
  <c r="I48" i="29"/>
  <c r="I54" i="29" s="1"/>
  <c r="E48" i="22"/>
  <c r="E49" i="22" s="1"/>
  <c r="E56" i="22" s="1"/>
  <c r="F48" i="24"/>
  <c r="F54" i="24" s="1"/>
  <c r="G48" i="15"/>
  <c r="G54" i="15" s="1"/>
  <c r="F48" i="22"/>
  <c r="F54" i="22" s="1"/>
  <c r="H48" i="28"/>
  <c r="H54" i="28" s="1"/>
  <c r="D28" i="28"/>
  <c r="H55" i="22"/>
  <c r="E48" i="29"/>
  <c r="H48" i="29"/>
  <c r="E48" i="28"/>
  <c r="D28" i="29"/>
  <c r="E48" i="15"/>
  <c r="E49" i="15" s="1"/>
  <c r="E56" i="15" s="1"/>
  <c r="I48" i="28"/>
  <c r="G54" i="25"/>
  <c r="G49" i="25"/>
  <c r="G56" i="25" s="1"/>
  <c r="H54" i="22"/>
  <c r="H49" i="22"/>
  <c r="H56" i="22" s="1"/>
  <c r="I54" i="23"/>
  <c r="I49" i="23"/>
  <c r="I56" i="23" s="1"/>
  <c r="I54" i="24"/>
  <c r="I49" i="24"/>
  <c r="I56" i="24" s="1"/>
  <c r="G54" i="23"/>
  <c r="G49" i="23"/>
  <c r="G56" i="23" s="1"/>
  <c r="I54" i="22"/>
  <c r="I49" i="22"/>
  <c r="I56" i="22" s="1"/>
  <c r="E49" i="24"/>
  <c r="E56" i="24" s="1"/>
  <c r="E54" i="24"/>
  <c r="F54" i="25"/>
  <c r="F49" i="25"/>
  <c r="F56" i="25" s="1"/>
  <c r="G54" i="24"/>
  <c r="G49" i="24"/>
  <c r="G56" i="24" s="1"/>
  <c r="E49" i="23"/>
  <c r="E54" i="23"/>
  <c r="H54" i="24"/>
  <c r="H49" i="24"/>
  <c r="H56" i="24" s="1"/>
  <c r="D29" i="15" l="1"/>
  <c r="D30" i="15" s="1"/>
  <c r="D31" i="15" s="1"/>
  <c r="D32" i="15" s="1"/>
  <c r="I63" i="15" s="1"/>
  <c r="I64" i="15" s="1"/>
  <c r="I49" i="15"/>
  <c r="I56" i="15" s="1"/>
  <c r="I57" i="15" s="1"/>
  <c r="I61" i="15" s="1"/>
  <c r="F25" i="25"/>
  <c r="G49" i="22"/>
  <c r="G56" i="22" s="1"/>
  <c r="H54" i="23"/>
  <c r="H57" i="23" s="1"/>
  <c r="H61" i="23" s="1"/>
  <c r="H64" i="23" s="1"/>
  <c r="H66" i="23" s="1"/>
  <c r="E54" i="25"/>
  <c r="H49" i="25"/>
  <c r="H56" i="25" s="1"/>
  <c r="H57" i="25" s="1"/>
  <c r="H61" i="25" s="1"/>
  <c r="H64" i="25" s="1"/>
  <c r="H66" i="25" s="1"/>
  <c r="F25" i="28"/>
  <c r="G25" i="28" s="1"/>
  <c r="H25" i="28" s="1"/>
  <c r="I25" i="28" s="1"/>
  <c r="F24" i="23"/>
  <c r="I24" i="23"/>
  <c r="G24" i="23"/>
  <c r="E24" i="23"/>
  <c r="E25" i="23" s="1"/>
  <c r="F25" i="23" s="1"/>
  <c r="G25" i="23" s="1"/>
  <c r="H24" i="23"/>
  <c r="F25" i="29"/>
  <c r="G25" i="29" s="1"/>
  <c r="H25" i="29" s="1"/>
  <c r="I25" i="29" s="1"/>
  <c r="H49" i="15"/>
  <c r="H56" i="15" s="1"/>
  <c r="H57" i="15" s="1"/>
  <c r="H61" i="15" s="1"/>
  <c r="H64" i="15" s="1"/>
  <c r="H66" i="15" s="1"/>
  <c r="E24" i="22"/>
  <c r="E25" i="22" s="1"/>
  <c r="I24" i="22"/>
  <c r="G24" i="22"/>
  <c r="F24" i="22"/>
  <c r="H24" i="22"/>
  <c r="G25" i="25"/>
  <c r="H25" i="25" s="1"/>
  <c r="I25" i="25" s="1"/>
  <c r="D29" i="25" s="1"/>
  <c r="D30" i="25" s="1"/>
  <c r="D31" i="25" s="1"/>
  <c r="D32" i="25" s="1"/>
  <c r="I63" i="25" s="1"/>
  <c r="E24" i="24"/>
  <c r="E25" i="24" s="1"/>
  <c r="G24" i="24"/>
  <c r="F24" i="24"/>
  <c r="H24" i="24"/>
  <c r="I24" i="24"/>
  <c r="F54" i="23"/>
  <c r="F57" i="23" s="1"/>
  <c r="F61" i="23" s="1"/>
  <c r="F64" i="23" s="1"/>
  <c r="F66" i="23" s="1"/>
  <c r="I49" i="25"/>
  <c r="I56" i="25" s="1"/>
  <c r="I57" i="25" s="1"/>
  <c r="I61" i="25" s="1"/>
  <c r="E54" i="22"/>
  <c r="E57" i="22" s="1"/>
  <c r="E61" i="22" s="1"/>
  <c r="E64" i="22" s="1"/>
  <c r="I49" i="29"/>
  <c r="I56" i="29" s="1"/>
  <c r="I57" i="29" s="1"/>
  <c r="I61" i="29" s="1"/>
  <c r="F49" i="29"/>
  <c r="F56" i="29" s="1"/>
  <c r="F57" i="29" s="1"/>
  <c r="F61" i="29" s="1"/>
  <c r="F64" i="29" s="1"/>
  <c r="F66" i="29" s="1"/>
  <c r="F49" i="22"/>
  <c r="F56" i="22" s="1"/>
  <c r="F57" i="22" s="1"/>
  <c r="F61" i="22" s="1"/>
  <c r="F64" i="22" s="1"/>
  <c r="F66" i="22" s="1"/>
  <c r="F54" i="15"/>
  <c r="F57" i="15" s="1"/>
  <c r="F61" i="15" s="1"/>
  <c r="F64" i="15" s="1"/>
  <c r="F66" i="15" s="1"/>
  <c r="F49" i="24"/>
  <c r="F56" i="24" s="1"/>
  <c r="F57" i="24" s="1"/>
  <c r="F61" i="24" s="1"/>
  <c r="F64" i="24" s="1"/>
  <c r="F66" i="24" s="1"/>
  <c r="G49" i="29"/>
  <c r="G56" i="29" s="1"/>
  <c r="G57" i="29" s="1"/>
  <c r="G61" i="29" s="1"/>
  <c r="G64" i="29" s="1"/>
  <c r="G66" i="29" s="1"/>
  <c r="F54" i="28"/>
  <c r="F57" i="28" s="1"/>
  <c r="F61" i="28" s="1"/>
  <c r="F64" i="28" s="1"/>
  <c r="F66" i="28" s="1"/>
  <c r="G49" i="15"/>
  <c r="G56" i="15" s="1"/>
  <c r="G57" i="15" s="1"/>
  <c r="G61" i="15" s="1"/>
  <c r="G64" i="15" s="1"/>
  <c r="G66" i="15" s="1"/>
  <c r="F50" i="15"/>
  <c r="G49" i="28"/>
  <c r="G56" i="28" s="1"/>
  <c r="G57" i="28" s="1"/>
  <c r="G61" i="28" s="1"/>
  <c r="G64" i="28" s="1"/>
  <c r="G66" i="28" s="1"/>
  <c r="E50" i="15"/>
  <c r="H49" i="28"/>
  <c r="H56" i="28" s="1"/>
  <c r="H57" i="28" s="1"/>
  <c r="H61" i="28" s="1"/>
  <c r="H64" i="28" s="1"/>
  <c r="H66" i="28" s="1"/>
  <c r="F50" i="28"/>
  <c r="E54" i="15"/>
  <c r="E57" i="15" s="1"/>
  <c r="E61" i="15" s="1"/>
  <c r="E64" i="15" s="1"/>
  <c r="E66" i="15" s="1"/>
  <c r="E49" i="28"/>
  <c r="E56" i="28" s="1"/>
  <c r="E54" i="28"/>
  <c r="E54" i="29"/>
  <c r="E49" i="29"/>
  <c r="E56" i="29" s="1"/>
  <c r="I49" i="28"/>
  <c r="I56" i="28" s="1"/>
  <c r="I54" i="28"/>
  <c r="H54" i="29"/>
  <c r="H49" i="29"/>
  <c r="H56" i="29" s="1"/>
  <c r="I50" i="15"/>
  <c r="E50" i="24"/>
  <c r="G57" i="25"/>
  <c r="G61" i="25" s="1"/>
  <c r="G64" i="25" s="1"/>
  <c r="G66" i="25" s="1"/>
  <c r="F57" i="25"/>
  <c r="F61" i="25" s="1"/>
  <c r="F64" i="25" s="1"/>
  <c r="F66" i="25" s="1"/>
  <c r="G50" i="25"/>
  <c r="G50" i="24"/>
  <c r="F50" i="23"/>
  <c r="G50" i="22"/>
  <c r="F50" i="25"/>
  <c r="I57" i="24"/>
  <c r="I61" i="24" s="1"/>
  <c r="G57" i="24"/>
  <c r="G61" i="24" s="1"/>
  <c r="G64" i="24" s="1"/>
  <c r="G66" i="24" s="1"/>
  <c r="H50" i="23"/>
  <c r="I50" i="24"/>
  <c r="I57" i="23"/>
  <c r="I61" i="23" s="1"/>
  <c r="G57" i="22"/>
  <c r="G61" i="22" s="1"/>
  <c r="G64" i="22" s="1"/>
  <c r="G66" i="22" s="1"/>
  <c r="H50" i="22"/>
  <c r="E57" i="24"/>
  <c r="E61" i="24" s="1"/>
  <c r="E64" i="24" s="1"/>
  <c r="G50" i="23"/>
  <c r="H57" i="22"/>
  <c r="H61" i="22" s="1"/>
  <c r="H64" i="22" s="1"/>
  <c r="H66" i="22" s="1"/>
  <c r="H57" i="24"/>
  <c r="H61" i="24" s="1"/>
  <c r="H64" i="24" s="1"/>
  <c r="H66" i="24" s="1"/>
  <c r="G57" i="23"/>
  <c r="G61" i="23" s="1"/>
  <c r="G64" i="23" s="1"/>
  <c r="G66" i="23" s="1"/>
  <c r="H50" i="25"/>
  <c r="E56" i="25"/>
  <c r="E50" i="25"/>
  <c r="I50" i="22"/>
  <c r="E56" i="23"/>
  <c r="E57" i="23" s="1"/>
  <c r="E61" i="23" s="1"/>
  <c r="E64" i="23" s="1"/>
  <c r="E50" i="23"/>
  <c r="H50" i="24"/>
  <c r="I57" i="22"/>
  <c r="I61" i="22" s="1"/>
  <c r="I50" i="23"/>
  <c r="E50" i="22"/>
  <c r="E57" i="25" l="1"/>
  <c r="E61" i="25" s="1"/>
  <c r="E64" i="25" s="1"/>
  <c r="F25" i="22"/>
  <c r="H50" i="15"/>
  <c r="I50" i="25"/>
  <c r="I50" i="29"/>
  <c r="G25" i="22"/>
  <c r="F25" i="24"/>
  <c r="G25" i="24" s="1"/>
  <c r="H25" i="24" s="1"/>
  <c r="I25" i="24" s="1"/>
  <c r="D29" i="24" s="1"/>
  <c r="D30" i="24" s="1"/>
  <c r="D31" i="24" s="1"/>
  <c r="D32" i="24" s="1"/>
  <c r="I63" i="24" s="1"/>
  <c r="I64" i="24" s="1"/>
  <c r="I66" i="24" s="1"/>
  <c r="H25" i="23"/>
  <c r="I25" i="23" s="1"/>
  <c r="D29" i="23" s="1"/>
  <c r="D30" i="23" s="1"/>
  <c r="D31" i="23" s="1"/>
  <c r="D32" i="23" s="1"/>
  <c r="I63" i="23" s="1"/>
  <c r="I64" i="23" s="1"/>
  <c r="I66" i="23" s="1"/>
  <c r="H25" i="22"/>
  <c r="I25" i="22" s="1"/>
  <c r="D29" i="22" s="1"/>
  <c r="D30" i="22" s="1"/>
  <c r="D31" i="22" s="1"/>
  <c r="D32" i="22" s="1"/>
  <c r="I63" i="22" s="1"/>
  <c r="I64" i="22" s="1"/>
  <c r="I66" i="22" s="1"/>
  <c r="F50" i="29"/>
  <c r="F50" i="22"/>
  <c r="G50" i="28"/>
  <c r="F50" i="24"/>
  <c r="G50" i="29"/>
  <c r="G50" i="15"/>
  <c r="E50" i="29"/>
  <c r="H50" i="28"/>
  <c r="D29" i="28"/>
  <c r="D30" i="28" s="1"/>
  <c r="D31" i="28" s="1"/>
  <c r="D32" i="28" s="1"/>
  <c r="I63" i="28" s="1"/>
  <c r="H57" i="29"/>
  <c r="H61" i="29" s="1"/>
  <c r="H64" i="29" s="1"/>
  <c r="H66" i="29" s="1"/>
  <c r="E57" i="29"/>
  <c r="E61" i="29" s="1"/>
  <c r="E64" i="29" s="1"/>
  <c r="E66" i="29" s="1"/>
  <c r="E50" i="28"/>
  <c r="E57" i="28"/>
  <c r="E61" i="28" s="1"/>
  <c r="E64" i="28" s="1"/>
  <c r="E66" i="28" s="1"/>
  <c r="H50" i="29"/>
  <c r="I50" i="28"/>
  <c r="D29" i="29"/>
  <c r="D30" i="29" s="1"/>
  <c r="D31" i="29" s="1"/>
  <c r="D32" i="29" s="1"/>
  <c r="I63" i="29" s="1"/>
  <c r="I64" i="29" s="1"/>
  <c r="I66" i="29" s="1"/>
  <c r="I57" i="28"/>
  <c r="I61" i="28" s="1"/>
  <c r="D70" i="15"/>
  <c r="I64" i="25"/>
  <c r="I66" i="25" s="1"/>
  <c r="E66" i="23"/>
  <c r="E66" i="25"/>
  <c r="E66" i="24"/>
  <c r="E66" i="22"/>
  <c r="I66" i="15"/>
  <c r="D69" i="15" s="1"/>
  <c r="I64" i="28" l="1"/>
  <c r="I66" i="28" s="1"/>
  <c r="D69" i="28" s="1"/>
  <c r="D70" i="29"/>
  <c r="D69" i="29"/>
  <c r="D70" i="24"/>
  <c r="D69" i="24"/>
  <c r="D70" i="22"/>
  <c r="D69" i="22"/>
  <c r="D69" i="25"/>
  <c r="D69" i="23"/>
  <c r="D70" i="25"/>
  <c r="D70" i="23"/>
  <c r="D70" i="2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tc={F6FE6B11-C049-4B4B-8218-75F0FCD5E725}</author>
    <author>tc={37D67796-BE63-4C7C-91AF-AB994199B25D}</author>
    <author>tc={DF86E04B-224E-4055-BD27-98C5DCF6E5E4}</author>
  </authors>
  <commentList>
    <comment ref="C15" authorId="0" shapeId="0" xr:uid="{F6FE6B11-C049-4B4B-8218-75F0FCD5E72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1,000 tb each year. Given the info that 10Gb = $2.20 per year.</t>
      </text>
    </comment>
    <comment ref="C17" authorId="1" shapeId="0" xr:uid="{37D67796-BE63-4C7C-91AF-AB994199B25D}">
      <text>
        <t>[Threaded comment]
Your version of Excel allows you to read this threaded comment; however, any edits to it will get removed if the file is opened in a newer version of Excel. Learn more: https://go.microsoft.com/fwlink/?linkid=870924
Comment:
    QuickBooks costs $90 per month x 12 months = $1,080</t>
      </text>
    </comment>
    <comment ref="C18" authorId="2" shapeId="0" xr:uid="{DF86E04B-224E-4055-BD27-98C5DCF6E5E4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this website (all their options): https://intrinio.com/pricing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tc={F64A1C0B-BAD7-4B19-BD89-6978C7B5A56E}</author>
    <author>tc={3D0E2E52-C147-480C-904D-132CBB9EF014}</author>
    <author>tc={B076F136-C0EE-46AF-93B9-68DE01343E93}</author>
  </authors>
  <commentList>
    <comment ref="L3" authorId="0" shapeId="0" xr:uid="{F64A1C0B-BAD7-4B19-BD89-6978C7B5A56E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MarketWatch</t>
      </text>
    </comment>
    <comment ref="V3" authorId="1" shapeId="0" xr:uid="{3D0E2E52-C147-480C-904D-132CBB9EF014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MarketWatch</t>
      </text>
    </comment>
    <comment ref="AF3" authorId="2" shapeId="0" xr:uid="{B076F136-C0EE-46AF-93B9-68DE01343E93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According to MarketWatch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tc={2A1FD05D-9B28-4059-9C7B-CBA8385959E0}</author>
    <author>tc={C0088CCD-010B-4B6D-841C-80A7323C2932}</author>
    <author>tc={C4D0147C-2760-4870-AEA7-2330D64B4931}</author>
  </authors>
  <commentList>
    <comment ref="A22" authorId="0" shapeId="0" xr:uid="{2A1FD05D-9B28-4059-9C7B-CBA8385959E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note that these salaries are calculated as the average of the equivalent of three years of wages plus the standard annual bonus rate. 
Calculation
Listed Salary = (Year 3 Adjusted Salary + Year 4 Adjusted Salary + Year 5 Adjusted Salary) / 3 years
Year X Adjusted Salary = (Previous Year Salary * (1 + Standard Bonus Rate))
EXCEL FORMULA
For the CEO formula:
=ROUNDUP(((B5*$J$20)+(B5*($J$20^2))+(B5*($J$20^3)))/3,-2)</t>
      </text>
    </comment>
    <comment ref="M30" authorId="1" shapeId="0" xr:uid="{C0088CCD-010B-4B6D-841C-80A7323C293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Professional/Regional Representative</t>
      </text>
    </comment>
    <comment ref="N30" authorId="2" shapeId="0" xr:uid="{C4D0147C-2760-4870-AEA7-2330D64B493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both SP/RR, it is $25,000 + 1% of sales of their region)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tc={5FDD1B3F-8B44-4463-ADDB-A77DFE2D0E72}</author>
    <author>tc={E80D6AD4-BE5C-4661-8E4B-0337E2C4F46F}</author>
    <author>tc={5015F2C1-715B-4389-A3E0-FD21516B61E6}</author>
  </authors>
  <commentList>
    <comment ref="J43" authorId="0" shapeId="0" xr:uid="{5FDD1B3F-8B44-4463-ADDB-A77DFE2D0E72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Professional/Regional Representative</t>
      </text>
    </comment>
    <comment ref="N43" authorId="1" shapeId="0" xr:uid="{E80D6AD4-BE5C-4661-8E4B-0337E2C4F46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Professional/Regional Representative</t>
      </text>
    </comment>
    <comment ref="R43" authorId="2" shapeId="0" xr:uid="{5015F2C1-715B-4389-A3E0-FD21516B61E6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Professional/Regional Representative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<sst xmlns="http://schemas.openxmlformats.org/spreadsheetml/2006/main" count="1856" uniqueCount="364">
  <si>
    <t>FinTime</t>
  </si>
  <si>
    <t>Team 5B Jake Adamczewski, Kennedy Garrett, Prince Johnson, Laci Provenzano, &amp; Christian Sickmeier</t>
  </si>
  <si>
    <t>YEAR</t>
  </si>
  <si>
    <t>Background Data:</t>
  </si>
  <si>
    <t>Unit Sales Estimates</t>
  </si>
  <si>
    <t xml:space="preserve">Variable Cost </t>
  </si>
  <si>
    <t>Fixed Costs per year</t>
  </si>
  <si>
    <t>Sale Price per unit</t>
  </si>
  <si>
    <t>Tier I Price</t>
  </si>
  <si>
    <t>Tier II Price</t>
  </si>
  <si>
    <t>Tier III Price</t>
  </si>
  <si>
    <t>Tax Rate</t>
  </si>
  <si>
    <t>Required Return on Project</t>
  </si>
  <si>
    <t>Yr 0 NWC</t>
  </si>
  <si>
    <t xml:space="preserve"> NWC % of sales</t>
  </si>
  <si>
    <t>Equipment cost - installed</t>
  </si>
  <si>
    <t>Salvage Value in year 5 of equipment cost</t>
  </si>
  <si>
    <t>Equipment Depreciable Base</t>
  </si>
  <si>
    <t>Depreciation</t>
  </si>
  <si>
    <t>Ending Book Value</t>
  </si>
  <si>
    <t>After-Tax Salvage Value</t>
  </si>
  <si>
    <t xml:space="preserve">Salvage Value </t>
  </si>
  <si>
    <t>Capital Gain/Loss</t>
  </si>
  <si>
    <t>Taxes</t>
  </si>
  <si>
    <t>Net Salvage Value (SV-Taxes)</t>
  </si>
  <si>
    <t>Required Net Working Capital Investment</t>
  </si>
  <si>
    <t>NWC requirement</t>
  </si>
  <si>
    <t>Initial NWC</t>
  </si>
  <si>
    <r>
      <t>∆</t>
    </r>
    <r>
      <rPr>
        <b/>
        <sz val="11"/>
        <rFont val="Garamond"/>
        <family val="1"/>
        <scheme val="major"/>
      </rPr>
      <t>NWC</t>
    </r>
  </si>
  <si>
    <t>NWC recovery</t>
  </si>
  <si>
    <t>Total ∆NWC</t>
  </si>
  <si>
    <t>Pro-forma Income Statement</t>
  </si>
  <si>
    <t>Sales</t>
  </si>
  <si>
    <t>Variable Costs</t>
  </si>
  <si>
    <t>Fixed Costs</t>
  </si>
  <si>
    <t>EBIT</t>
  </si>
  <si>
    <t xml:space="preserve">Taxes </t>
  </si>
  <si>
    <t>Net Income</t>
  </si>
  <si>
    <t>Operating Cash Flow</t>
  </si>
  <si>
    <t>Total Cash Flows</t>
  </si>
  <si>
    <t>Capital spending</t>
  </si>
  <si>
    <t>Total Projected Cash Flows</t>
  </si>
  <si>
    <t>Discounted Cash Flows</t>
  </si>
  <si>
    <t>NPV</t>
  </si>
  <si>
    <t>IRR</t>
  </si>
  <si>
    <t xml:space="preserve">Total </t>
  </si>
  <si>
    <t xml:space="preserve">HR Department </t>
  </si>
  <si>
    <t xml:space="preserve">Needs Assessment and Planning </t>
  </si>
  <si>
    <t>HR Software Tools</t>
  </si>
  <si>
    <t>Abritration  (Conflict Resolution Resource)</t>
  </si>
  <si>
    <t xml:space="preserve">Data Management </t>
  </si>
  <si>
    <t xml:space="preserve">Data Management Software </t>
  </si>
  <si>
    <t xml:space="preserve">Disaster Recovery and Backup </t>
  </si>
  <si>
    <t>User Authentication</t>
  </si>
  <si>
    <t>Customized Features</t>
  </si>
  <si>
    <t xml:space="preserve">Goal Ttracking </t>
  </si>
  <si>
    <t xml:space="preserve">Generating Client Reports </t>
  </si>
  <si>
    <t xml:space="preserve">Investment Analysis </t>
  </si>
  <si>
    <t xml:space="preserve">Trading </t>
  </si>
  <si>
    <t xml:space="preserve">Security Features </t>
  </si>
  <si>
    <t>Cost to Implememt into app</t>
  </si>
  <si>
    <t>Notification System</t>
  </si>
  <si>
    <t xml:space="preserve">Financial Resouce </t>
  </si>
  <si>
    <t xml:space="preserve">Testing and Pilot Program </t>
  </si>
  <si>
    <t>Accounting</t>
  </si>
  <si>
    <t xml:space="preserve">Quickbooks </t>
  </si>
  <si>
    <t>Payment Gateway Fee</t>
  </si>
  <si>
    <t xml:space="preserve">*with quickbook </t>
  </si>
  <si>
    <t xml:space="preserve">Test out product </t>
  </si>
  <si>
    <t>HR</t>
  </si>
  <si>
    <t>Employee Handbook &amp; Policy/Procedues</t>
  </si>
  <si>
    <t>Safety &amp; Training Program Manual</t>
  </si>
  <si>
    <t>Legal</t>
  </si>
  <si>
    <t xml:space="preserve">Detailed Analysis  </t>
  </si>
  <si>
    <t>Market Research</t>
  </si>
  <si>
    <t xml:space="preserve">Legal Consultation &amp; Licensing  </t>
  </si>
  <si>
    <t xml:space="preserve">Feasibility Study  </t>
  </si>
  <si>
    <t xml:space="preserve">Contract Negotiation  </t>
  </si>
  <si>
    <t xml:space="preserve">App Devlopment </t>
  </si>
  <si>
    <t xml:space="preserve">Conducting Evaluations </t>
  </si>
  <si>
    <t>Iniating the Outsourcing Process</t>
  </si>
  <si>
    <t xml:space="preserve">Backend devlopment </t>
  </si>
  <si>
    <t>Development Team</t>
  </si>
  <si>
    <t xml:space="preserve">Infrustructer </t>
  </si>
  <si>
    <t xml:space="preserve">Front End devlopment </t>
  </si>
  <si>
    <t>Devleopment Team</t>
  </si>
  <si>
    <t xml:space="preserve">UI/UX Design </t>
  </si>
  <si>
    <t>Cloud Services</t>
  </si>
  <si>
    <t xml:space="preserve">Intergration of Cloud Services </t>
  </si>
  <si>
    <t>Hiring App Designers</t>
  </si>
  <si>
    <t>Integration of Chat GPT</t>
  </si>
  <si>
    <t>Garamond</t>
  </si>
  <si>
    <t>Net Working Capital</t>
  </si>
  <si>
    <t>Variable Cost of Moving Data</t>
  </si>
  <si>
    <t>Year 0</t>
  </si>
  <si>
    <t>Cost of Computer</t>
  </si>
  <si>
    <t>Current Assets</t>
  </si>
  <si>
    <t>Number of FA Clients per Year</t>
  </si>
  <si>
    <t>(Noted, numbers are found by multiplying projected number of financial advisors by maximum amount of clients they will have per tier system.)</t>
  </si>
  <si>
    <t>Staff Count</t>
  </si>
  <si>
    <t xml:space="preserve">None </t>
  </si>
  <si>
    <t xml:space="preserve">Given </t>
  </si>
  <si>
    <t>Year 1</t>
  </si>
  <si>
    <t>Year 2</t>
  </si>
  <si>
    <t>Year 3</t>
  </si>
  <si>
    <t>Year 4</t>
  </si>
  <si>
    <t>Year 5</t>
  </si>
  <si>
    <t>Total Cost of Computer</t>
  </si>
  <si>
    <t>Tier 1</t>
  </si>
  <si>
    <t xml:space="preserve">Useful Life </t>
  </si>
  <si>
    <t xml:space="preserve">                  </t>
  </si>
  <si>
    <t>Tier 2</t>
  </si>
  <si>
    <t xml:space="preserve">Cost of App </t>
  </si>
  <si>
    <t>Trading:</t>
  </si>
  <si>
    <t>Tier 3</t>
  </si>
  <si>
    <t>(Noted, in our Sales Forecast, Tier 3 is 200+ clients per financial advisor, these calculations are assuming 300 clients per financial advisor.)</t>
  </si>
  <si>
    <t>Calculations per hour per client =</t>
  </si>
  <si>
    <t>(800 Billion)</t>
  </si>
  <si>
    <t>Hours functioning in a year =</t>
  </si>
  <si>
    <t>(Every hour of the year)</t>
  </si>
  <si>
    <t>Total Hours per Year for all FA Clients</t>
  </si>
  <si>
    <t>(Noted, this is found by multiplying the number of financial advisor clients per year by projected total hours each client will require of our functions.)</t>
  </si>
  <si>
    <t>Operational Fixed Costs</t>
  </si>
  <si>
    <t>Generating Client Reports:</t>
  </si>
  <si>
    <t xml:space="preserve">Legal </t>
  </si>
  <si>
    <t>(1.2 Trillion)</t>
  </si>
  <si>
    <t>Rent</t>
  </si>
  <si>
    <t>(Roughly 45 hr work weeks)</t>
  </si>
  <si>
    <t>Cloud Rent</t>
  </si>
  <si>
    <t>Current Liabilities</t>
  </si>
  <si>
    <t>Salaries</t>
  </si>
  <si>
    <t>CEO</t>
  </si>
  <si>
    <t>Investment Analysis:</t>
  </si>
  <si>
    <t>QuickBooks</t>
  </si>
  <si>
    <t>CFO</t>
  </si>
  <si>
    <t>(1.5 Trillion)</t>
  </si>
  <si>
    <t>Total Fixed Costs</t>
  </si>
  <si>
    <t>CHRO</t>
  </si>
  <si>
    <t>Variable Cost per FA Client per Year</t>
  </si>
  <si>
    <t>COO</t>
  </si>
  <si>
    <t>Developer</t>
  </si>
  <si>
    <t>Goal Tracking:</t>
  </si>
  <si>
    <t>App Development</t>
  </si>
  <si>
    <t>CMO</t>
  </si>
  <si>
    <t>(600 Billion)</t>
  </si>
  <si>
    <t>Change in NWC</t>
  </si>
  <si>
    <t>(Noted, this number is per financial advisor, not per financial advisor client. Therefore, not included in per client calculations.)</t>
  </si>
  <si>
    <t>Resources:</t>
  </si>
  <si>
    <t>x</t>
  </si>
  <si>
    <t>Calculations per hour per FA=</t>
  </si>
  <si>
    <t>(500 Billion)</t>
  </si>
  <si>
    <t>Total Hours per year for FA</t>
  </si>
  <si>
    <t>(Noted, this is found by multiplying projected number of financial advisors by the hours functioning in one year.)</t>
  </si>
  <si>
    <t xml:space="preserve">Hiring App Designers </t>
  </si>
  <si>
    <t xml:space="preserve">ChatGPT Integration </t>
  </si>
  <si>
    <t xml:space="preserve">People to Test Out Product </t>
  </si>
  <si>
    <t xml:space="preserve">Cash </t>
  </si>
  <si>
    <t xml:space="preserve">User Authentication </t>
  </si>
  <si>
    <t>Total client per hour calculations =</t>
  </si>
  <si>
    <t xml:space="preserve">Goal Tracking </t>
  </si>
  <si>
    <t>Cost of client calculation per hour =</t>
  </si>
  <si>
    <t xml:space="preserve">Generate Client Reports </t>
  </si>
  <si>
    <t>Total hours ran each year per client =</t>
  </si>
  <si>
    <t>Variable Cost per FA per Year</t>
  </si>
  <si>
    <t>Cost of FA calculation per hour =</t>
  </si>
  <si>
    <t xml:space="preserve">Notification System </t>
  </si>
  <si>
    <t xml:space="preserve">Financial Resources </t>
  </si>
  <si>
    <t>Cost per FA Client per Year</t>
  </si>
  <si>
    <t xml:space="preserve">Total Variable Cost of Moving Data per Year </t>
  </si>
  <si>
    <t>Total Cost</t>
  </si>
  <si>
    <t>Cost per FA per Year</t>
  </si>
  <si>
    <t>Marketing and Promotion Expense</t>
  </si>
  <si>
    <t>Health Insurance</t>
  </si>
  <si>
    <t>Benefits</t>
  </si>
  <si>
    <t>Moving Data</t>
  </si>
  <si>
    <t>Total per Year</t>
  </si>
  <si>
    <t>Total</t>
  </si>
  <si>
    <t>Total Variable Costs per Year</t>
  </si>
  <si>
    <t>FinTime Tier Pricing</t>
  </si>
  <si>
    <t> </t>
  </si>
  <si>
    <t>Cost per month</t>
  </si>
  <si>
    <t>Tier I</t>
  </si>
  <si>
    <t>Tier II</t>
  </si>
  <si>
    <t>Tier III</t>
  </si>
  <si>
    <t>Tier I Projection</t>
  </si>
  <si>
    <t>Year</t>
  </si>
  <si>
    <t xml:space="preserve"> % of Client Distribution </t>
  </si>
  <si>
    <t>Projected Tier 1 Clients</t>
  </si>
  <si>
    <t>Tier 1 Price (per month)</t>
  </si>
  <si>
    <t>Tier I Sales (per month)</t>
  </si>
  <si>
    <t>=</t>
  </si>
  <si>
    <t>Tier II Projection</t>
  </si>
  <si>
    <t>Tier III Projection</t>
  </si>
  <si>
    <t>Executive</t>
  </si>
  <si>
    <t>Human Resources</t>
  </si>
  <si>
    <t>Operations</t>
  </si>
  <si>
    <t>IT</t>
  </si>
  <si>
    <t>Marketing</t>
  </si>
  <si>
    <t>CSO</t>
  </si>
  <si>
    <t>Chief Information Officer</t>
  </si>
  <si>
    <t>A/P</t>
  </si>
  <si>
    <t>Payroll</t>
  </si>
  <si>
    <t>Operations Specialist</t>
  </si>
  <si>
    <t>NE</t>
  </si>
  <si>
    <t>Database Admin</t>
  </si>
  <si>
    <t>Media Manager</t>
  </si>
  <si>
    <t>A/R</t>
  </si>
  <si>
    <t>Training/Development</t>
  </si>
  <si>
    <t>Product Dev. Specialist</t>
  </si>
  <si>
    <t>SW</t>
  </si>
  <si>
    <t>Network Admin</t>
  </si>
  <si>
    <t>Marketing Assisrant</t>
  </si>
  <si>
    <t>Billing</t>
  </si>
  <si>
    <t>MW</t>
  </si>
  <si>
    <t>SE</t>
  </si>
  <si>
    <t>Tech Support</t>
  </si>
  <si>
    <t>W</t>
  </si>
  <si>
    <t>Total Salaries</t>
  </si>
  <si>
    <t># of employees</t>
  </si>
  <si>
    <t xml:space="preserve">Summation of Salaries </t>
  </si>
  <si>
    <t>Total # of employees</t>
  </si>
  <si>
    <t xml:space="preserve">Year 1 Total </t>
  </si>
  <si>
    <t xml:space="preserve">Year 2 Total </t>
  </si>
  <si>
    <t xml:space="preserve">Year 3 Total </t>
  </si>
  <si>
    <t xml:space="preserve">Year 4 Total </t>
  </si>
  <si>
    <t xml:space="preserve">Year 5 Total </t>
  </si>
  <si>
    <t xml:space="preserve">Year 1 </t>
  </si>
  <si>
    <t xml:space="preserve">Year 2 </t>
  </si>
  <si>
    <t xml:space="preserve">Year 3 </t>
  </si>
  <si>
    <t xml:space="preserve">Year 4 </t>
  </si>
  <si>
    <t xml:space="preserve">Year 5 </t>
  </si>
  <si>
    <t>Clients (Horizontal)</t>
  </si>
  <si>
    <t>Annual Rev.</t>
  </si>
  <si>
    <t>Original Numbers</t>
  </si>
  <si>
    <t>Projected Tier 2 Clients</t>
  </si>
  <si>
    <t>Tier 2 Price (per month)</t>
  </si>
  <si>
    <t>Tier II Sales (per month)</t>
  </si>
  <si>
    <t>Projected Tier 3 Clients</t>
  </si>
  <si>
    <t>Tier 3 Price (per month)</t>
  </si>
  <si>
    <t>Tier III Sales (per month)</t>
  </si>
  <si>
    <t>Tier</t>
  </si>
  <si>
    <t>Revenue</t>
  </si>
  <si>
    <t>% of Total Revenue</t>
  </si>
  <si>
    <t>Financial Advisors</t>
  </si>
  <si>
    <t>Price</t>
  </si>
  <si>
    <t>Variable</t>
  </si>
  <si>
    <t>Brokerage API Cost</t>
  </si>
  <si>
    <t>Year 1-2</t>
  </si>
  <si>
    <t>Year 3-5</t>
  </si>
  <si>
    <t>SP/RR</t>
  </si>
  <si>
    <t>System Administrator</t>
  </si>
  <si>
    <t>Marketing Professional</t>
  </si>
  <si>
    <t>Customer Support Rep.</t>
  </si>
  <si>
    <t>Promotional Plan</t>
  </si>
  <si>
    <t>Months 0-6 (Prelaunch)</t>
  </si>
  <si>
    <t>Social Media Teasers</t>
  </si>
  <si>
    <t>Content Creation:</t>
  </si>
  <si>
    <t>Social Media Management Tools:</t>
  </si>
  <si>
    <t>Advertising Costs:</t>
  </si>
  <si>
    <t>Webinars:</t>
  </si>
  <si>
    <t>Marketing Materials:</t>
  </si>
  <si>
    <t>Partnerships</t>
  </si>
  <si>
    <t>Collaboration Costs:</t>
  </si>
  <si>
    <t>Media Coverage:</t>
  </si>
  <si>
    <t>National Financial Magazines:</t>
  </si>
  <si>
    <t>1 local paper in the top 10 major cities in the US:</t>
  </si>
  <si>
    <t>Unique Selling Point</t>
  </si>
  <si>
    <t>Budget:</t>
  </si>
  <si>
    <t>Months 7-12 (First 6 Months)</t>
  </si>
  <si>
    <t>Launch Event</t>
  </si>
  <si>
    <t>Virtual Event Cost:</t>
  </si>
  <si>
    <t>In-Person Event Cost:</t>
  </si>
  <si>
    <t>Incentives for Users Providing Testimonials:</t>
  </si>
  <si>
    <t>Social Media Blitz:</t>
  </si>
  <si>
    <t>Advertising Costs for Boosed Posts:</t>
  </si>
  <si>
    <t>Survey Platform Costs:</t>
  </si>
  <si>
    <t>Incentives for Survey Participants:</t>
  </si>
  <si>
    <t>Feature Positive User Reviews:</t>
  </si>
  <si>
    <t>Incentivizing Users to Leave Reviews:</t>
  </si>
  <si>
    <t>Ongoing Customer Feedback Mechanisms:</t>
  </si>
  <si>
    <t>Incentives for Ongoing Feedback:</t>
  </si>
  <si>
    <t>Year 1 Total</t>
  </si>
  <si>
    <t>Months 12-18 (Referral Program)</t>
  </si>
  <si>
    <t>Incentives for Referrals:</t>
  </si>
  <si>
    <t>Marketing Materials for Referral Program</t>
  </si>
  <si>
    <t>LinkedIn Marketing:</t>
  </si>
  <si>
    <t>Software/Platform for Managing Referral Program:</t>
  </si>
  <si>
    <t>Months 18 (Feature Updates)</t>
  </si>
  <si>
    <t>Development and Implementation:</t>
  </si>
  <si>
    <t>Marketing and Communication:</t>
  </si>
  <si>
    <t>Feature Updates Cost:</t>
  </si>
  <si>
    <t>Survey Software:</t>
  </si>
  <si>
    <t>Incentives for Survey Participation:</t>
  </si>
  <si>
    <t>Content Marketing</t>
  </si>
  <si>
    <t>Promotion of Content:</t>
  </si>
  <si>
    <t>Other Costs:</t>
  </si>
  <si>
    <t>Months 20-24 (User Surveys)</t>
  </si>
  <si>
    <t>Year 2 Total</t>
  </si>
  <si>
    <t>Months 25-30 (Market Position)</t>
  </si>
  <si>
    <t>Establishing FinTime as a Thought Leader</t>
  </si>
  <si>
    <t>Industry Partnerships:</t>
  </si>
  <si>
    <t>Advanced Training Sessions</t>
  </si>
  <si>
    <t>Training Materials Development:</t>
  </si>
  <si>
    <t>Instructor Fees:</t>
  </si>
  <si>
    <t>Platform:</t>
  </si>
  <si>
    <t>Marketing and Promotion of Training Sessions:</t>
  </si>
  <si>
    <t>Months 31-36 (Market Expansion)</t>
  </si>
  <si>
    <t>Market Research for Each New Region:</t>
  </si>
  <si>
    <t>Localized Advertising and Promotions:</t>
  </si>
  <si>
    <t>Hiring and Training a Dedicated Sales Force:</t>
  </si>
  <si>
    <t>Sales Force Expansion</t>
  </si>
  <si>
    <t>Year 3 Total</t>
  </si>
  <si>
    <t>Book Value (Year 6)</t>
  </si>
  <si>
    <t>WACC</t>
  </si>
  <si>
    <t>Beta</t>
  </si>
  <si>
    <t>Shares Outstanding</t>
  </si>
  <si>
    <t>Risk Free Rate</t>
  </si>
  <si>
    <t>Risk Free Rate + Risk Premium</t>
  </si>
  <si>
    <t>Market Cap</t>
  </si>
  <si>
    <t>Maturity Date</t>
  </si>
  <si>
    <t>Amount ($mil)</t>
  </si>
  <si>
    <t>YTM</t>
  </si>
  <si>
    <t>Weight</t>
  </si>
  <si>
    <t>Weighted YTM</t>
  </si>
  <si>
    <t>Total =</t>
  </si>
  <si>
    <t>YTM =</t>
  </si>
  <si>
    <t>Market values</t>
  </si>
  <si>
    <t>Weights</t>
  </si>
  <si>
    <t>Bonds</t>
  </si>
  <si>
    <t>Stock</t>
  </si>
  <si>
    <t>Tax rate</t>
  </si>
  <si>
    <t>CAPM</t>
  </si>
  <si>
    <t>After-tax R</t>
  </si>
  <si>
    <t>Product</t>
  </si>
  <si>
    <t>Year 0 Total</t>
  </si>
  <si>
    <t>UiPath (PATH)</t>
  </si>
  <si>
    <t xml:space="preserve">Market Cap </t>
  </si>
  <si>
    <t>Bond information (as of market close on 12/31/21):</t>
  </si>
  <si>
    <t>C3.ai (AI)</t>
  </si>
  <si>
    <t>Stock information (as of market close on 12/7/2023):</t>
  </si>
  <si>
    <t>Block (SQ)</t>
  </si>
  <si>
    <t>Cost of Debt</t>
  </si>
  <si>
    <t>Weight of Debt</t>
  </si>
  <si>
    <t>Weight of Equity</t>
  </si>
  <si>
    <t>UiPath</t>
  </si>
  <si>
    <t>C3.ai</t>
  </si>
  <si>
    <t>Equal-weighted Average</t>
  </si>
  <si>
    <t>Value-weight Average</t>
  </si>
  <si>
    <t>Risk Adjustment</t>
  </si>
  <si>
    <t>Risk-Adjusted WACC</t>
  </si>
  <si>
    <t>Block</t>
  </si>
  <si>
    <t>24 trillion calculations per hour =</t>
  </si>
  <si>
    <t>Amortization Calculations:</t>
  </si>
  <si>
    <t>5 Year Straight Line Amortization</t>
  </si>
  <si>
    <t>Amorization</t>
  </si>
  <si>
    <t>Total Amortization</t>
  </si>
  <si>
    <t>Amortization</t>
  </si>
  <si>
    <t>Standard Bonus %</t>
  </si>
  <si>
    <t>Multiplier</t>
  </si>
  <si>
    <t>Database Admin Ass.</t>
  </si>
  <si>
    <t>Development Fixed Cost</t>
  </si>
  <si>
    <t xml:space="preserve">These numbers are not accurate </t>
  </si>
  <si>
    <t>These numbers are not accurate</t>
  </si>
  <si>
    <t>Contribution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</si>
</sst>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&quot;$&quot;#,##0.00"/>
    <numFmt numFmtId="166" formatCode="_([$$-409]* #,##0_);_([$$-409]* \(#,##0\);_([$$-409]* &quot;-&quot;??_);_(@_)"/>
    <numFmt numFmtId="167" formatCode="_([$$-409]* #,##0.0000_);_([$$-409]* \(#,##0.0000\);_([$$-409]* &quot;-&quot;??_);_(@_)"/>
    <numFmt numFmtId="168" formatCode="_(* #,##0_);_(* \(#,##0\);_(* &quot;-&quot;??_);_(@_)"/>
    <numFmt numFmtId="169" formatCode="_([$$-409]* #,##0.00000_);_([$$-409]* \(#,##0.00000\);_([$$-409]* &quot;-&quot;??_);_(@_)"/>
    <numFmt numFmtId="170" formatCode="_([$$-409]* #,##0.0000_);_([$$-409]* \(#,##0.0000\);_([$$-409]* &quot;-&quot;????_);_(@_)"/>
    <numFmt numFmtId="171" formatCode="_([$$-409]* #,##0.00000_);_([$$-409]* \(#,##0.00000\);_([$$-409]* &quot;-&quot;?????_);_(@_)"/>
    <numFmt numFmtId="172" formatCode="#,##0.0000_);\(#,##0.0000\)"/>
    <numFmt numFmtId="173" formatCode="_(\ #,##0.0#_);_(\(\ #,##0.0#\)_);_(\ &quot; - &quot;_)"/>
    <numFmt numFmtId="174" formatCode="0.0%"/>
    <numFmt numFmtId="175" formatCode="0.000%"/>
  </numFmts>
  <fonts count="5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Garamond"/>
      <family val="1"/>
      <scheme val="major"/>
    </font>
    <font>
      <b/>
      <sz val="12"/>
      <name val="Garamond"/>
      <family val="1"/>
      <scheme val="major"/>
    </font>
    <font>
      <b/>
      <u/>
      <sz val="12"/>
      <name val="Garamond"/>
      <family val="1"/>
      <scheme val="major"/>
    </font>
    <font>
      <u/>
      <sz val="12"/>
      <name val="Garamond"/>
      <family val="1"/>
      <scheme val="major"/>
    </font>
    <font>
      <b/>
      <sz val="10"/>
      <name val="Garamond"/>
      <family val="1"/>
      <scheme val="major"/>
    </font>
    <font>
      <b/>
      <sz val="11"/>
      <name val="Garamond"/>
      <family val="1"/>
      <scheme val="major"/>
    </font>
    <font>
      <sz val="11"/>
      <color rgb="FF000000"/>
      <name val="Garamond"/>
      <family val="1"/>
      <scheme val="major"/>
    </font>
    <font>
      <b/>
      <sz val="11"/>
      <color rgb="FF000000"/>
      <name val="Garamond"/>
      <family val="1"/>
      <scheme val="major"/>
    </font>
    <font>
      <b/>
      <sz val="11"/>
      <color theme="1"/>
      <name val="Garamond"/>
      <family val="1"/>
      <scheme val="major"/>
    </font>
    <font>
      <i/>
      <sz val="11"/>
      <color rgb="FF000000"/>
      <name val="Garamond"/>
      <family val="1"/>
      <scheme val="major"/>
    </font>
    <font>
      <b/>
      <sz val="11"/>
      <color theme="9" tint="-0.499984740745262"/>
      <name val="Garamond"/>
      <family val="1"/>
      <scheme val="major"/>
    </font>
    <font>
      <sz val="11"/>
      <color theme="9" tint="-0.499984740745262"/>
      <name val="Garamond"/>
      <family val="1"/>
      <scheme val="major"/>
    </font>
    <font>
      <sz val="11"/>
      <color theme="5" tint="-0.249977111117893"/>
      <name val="Garamond"/>
      <family val="1"/>
      <scheme val="major"/>
    </font>
    <font>
      <b/>
      <sz val="10"/>
      <color rgb="FFC00000"/>
      <name val="Garamond"/>
      <family val="1"/>
      <scheme val="major"/>
    </font>
    <font>
      <sz val="10"/>
      <color theme="9" tint="0.79998168889431442"/>
      <name val="Garamond"/>
      <family val="1"/>
      <scheme val="major"/>
    </font>
    <font>
      <u/>
      <sz val="10"/>
      <name val="Garamond"/>
      <family val="1"/>
      <scheme val="major"/>
    </font>
    <font>
      <u/>
      <sz val="11"/>
      <name val="Garamond"/>
      <family val="1"/>
      <scheme val="major"/>
    </font>
    <font>
      <b/>
      <sz val="12"/>
      <name val="Garamond"/>
      <family val="1"/>
      <scheme val="major"/>
    </font>
    <font>
      <u val="double"/>
      <sz val="10"/>
      <name val="Garamond"/>
      <family val="1"/>
      <scheme val="major"/>
    </font>
    <font>
      <sz val="11"/>
      <name val="Garamond"/>
      <family val="1"/>
      <scheme val="major"/>
    </font>
    <font>
      <b/>
      <u/>
      <sz val="14"/>
      <color rgb="FF000000"/>
      <name val="Garamond"/>
      <family val="1"/>
      <scheme val="major"/>
    </font>
    <font>
      <sz val="10"/>
      <name val="Garamond"/>
      <family val="1"/>
      <scheme val="minor"/>
    </font>
    <font>
      <sz val="12"/>
      <name val="Garamond"/>
      <family val="1"/>
      <scheme val="minor"/>
    </font>
    <font>
      <sz val="11"/>
      <name val="Garamond"/>
      <family val="1"/>
      <scheme val="minor"/>
    </font>
    <font>
      <u/>
      <sz val="10"/>
      <name val="Garamond"/>
      <family val="1"/>
      <scheme val="minor"/>
    </font>
    <font>
      <b/>
      <sz val="10"/>
      <name val="Garamond"/>
      <family val="1"/>
      <scheme val="minor"/>
    </font>
    <font>
      <b/>
      <sz val="11"/>
      <name val="Garamond"/>
      <family val="1"/>
      <scheme val="minor"/>
    </font>
    <font>
      <sz val="16"/>
      <name val="Garamond"/>
      <family val="1"/>
      <scheme val="minor"/>
    </font>
    <font>
      <sz val="11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i/>
      <u/>
      <sz val="12"/>
      <name val="Times New Roman"/>
      <family val="1"/>
    </font>
    <font>
      <i/>
      <sz val="12"/>
      <name val="Times New Roman"/>
      <family val="1"/>
    </font>
    <font>
      <i/>
      <u/>
      <sz val="12"/>
      <name val="Times New Roman"/>
      <family val="1"/>
    </font>
    <font>
      <sz val="10"/>
      <name val="Garamond"/>
      <family val="1"/>
    </font>
    <font>
      <sz val="8"/>
      <name val="Arial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8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20" borderId="1" applyNumberFormat="0" applyAlignment="0" applyProtection="0"/>
    <xf numFmtId="0" fontId="14" fillId="21" borderId="2" applyNumberFormat="0" applyAlignment="0" applyProtection="0"/>
    <xf numFmtId="4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10" fillId="7" borderId="1" applyNumberFormat="0" applyAlignment="0" applyProtection="0"/>
    <xf numFmtId="0" fontId="13" fillId="0" borderId="6" applyNumberFormat="0" applyFill="0" applyAlignment="0" applyProtection="0"/>
    <xf numFmtId="0" fontId="9" fillId="22" borderId="0" applyNumberFormat="0" applyBorder="0" applyAlignment="0" applyProtection="0"/>
    <xf numFmtId="0" fontId="1" fillId="0" borderId="0"/>
    <xf numFmtId="0" fontId="2" fillId="23" borderId="7" applyNumberFormat="0" applyFont="0" applyAlignment="0" applyProtection="0"/>
    <xf numFmtId="0" fontId="11" fillId="20" borderId="8" applyNumberFormat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4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</cellStyleXfs>
  <cellXfs count="267">
    <xf numFmtId="0" fontId="0" fillId="0" borderId="0" xfId="0"/>
    <xf numFmtId="0" fontId="21" fillId="0" borderId="0" xfId="0" applyFont="1"/>
    <xf numFmtId="43" fontId="22" fillId="0" borderId="0" xfId="38" applyNumberFormat="1" applyFont="1"/>
    <xf numFmtId="43" fontId="23" fillId="0" borderId="0" xfId="38" applyNumberFormat="1" applyFont="1"/>
    <xf numFmtId="43" fontId="24" fillId="0" borderId="0" xfId="38" applyNumberFormat="1" applyFont="1"/>
    <xf numFmtId="43" fontId="21" fillId="0" borderId="0" xfId="38" applyNumberFormat="1" applyFont="1"/>
    <xf numFmtId="43" fontId="21" fillId="0" borderId="0" xfId="38" applyNumberFormat="1" applyFont="1" applyAlignment="1">
      <alignment horizontal="center"/>
    </xf>
    <xf numFmtId="43" fontId="25" fillId="0" borderId="0" xfId="38" applyNumberFormat="1" applyFont="1"/>
    <xf numFmtId="43" fontId="25" fillId="0" borderId="15" xfId="38" applyNumberFormat="1" applyFont="1" applyBorder="1"/>
    <xf numFmtId="43" fontId="25" fillId="0" borderId="14" xfId="38" applyNumberFormat="1" applyFont="1" applyBorder="1"/>
    <xf numFmtId="43" fontId="25" fillId="24" borderId="19" xfId="38" applyNumberFormat="1" applyFont="1" applyFill="1" applyBorder="1"/>
    <xf numFmtId="43" fontId="25" fillId="24" borderId="12" xfId="38" applyNumberFormat="1" applyFont="1" applyFill="1" applyBorder="1"/>
    <xf numFmtId="43" fontId="21" fillId="24" borderId="12" xfId="38" applyNumberFormat="1" applyFont="1" applyFill="1" applyBorder="1"/>
    <xf numFmtId="43" fontId="25" fillId="24" borderId="20" xfId="38" applyNumberFormat="1" applyFont="1" applyFill="1" applyBorder="1"/>
    <xf numFmtId="43" fontId="25" fillId="24" borderId="0" xfId="38" applyNumberFormat="1" applyFont="1" applyFill="1"/>
    <xf numFmtId="43" fontId="21" fillId="24" borderId="0" xfId="38" applyNumberFormat="1" applyFont="1" applyFill="1"/>
    <xf numFmtId="44" fontId="21" fillId="24" borderId="0" xfId="45" applyFont="1" applyFill="1"/>
    <xf numFmtId="43" fontId="25" fillId="24" borderId="0" xfId="38" applyNumberFormat="1" applyFont="1" applyFill="1" applyAlignment="1">
      <alignment horizontal="left" indent="1"/>
    </xf>
    <xf numFmtId="43" fontId="21" fillId="24" borderId="0" xfId="45" applyNumberFormat="1" applyFont="1" applyFill="1"/>
    <xf numFmtId="9" fontId="21" fillId="24" borderId="0" xfId="46" applyFont="1" applyFill="1"/>
    <xf numFmtId="43" fontId="21" fillId="24" borderId="0" xfId="38" applyNumberFormat="1" applyFont="1" applyFill="1" applyAlignment="1">
      <alignment horizontal="right"/>
    </xf>
    <xf numFmtId="43" fontId="25" fillId="24" borderId="13" xfId="38" applyNumberFormat="1" applyFont="1" applyFill="1" applyBorder="1"/>
    <xf numFmtId="43" fontId="25" fillId="24" borderId="11" xfId="38" applyNumberFormat="1" applyFont="1" applyFill="1" applyBorder="1"/>
    <xf numFmtId="43" fontId="21" fillId="24" borderId="11" xfId="38" applyNumberFormat="1" applyFont="1" applyFill="1" applyBorder="1"/>
    <xf numFmtId="43" fontId="25" fillId="0" borderId="13" xfId="38" applyNumberFormat="1" applyFont="1" applyBorder="1"/>
    <xf numFmtId="43" fontId="25" fillId="0" borderId="11" xfId="38" applyNumberFormat="1" applyFont="1" applyBorder="1"/>
    <xf numFmtId="43" fontId="25" fillId="0" borderId="0" xfId="38" applyNumberFormat="1" applyFont="1" applyAlignment="1">
      <alignment horizontal="right"/>
    </xf>
    <xf numFmtId="10" fontId="21" fillId="0" borderId="0" xfId="46" applyNumberFormat="1" applyFont="1"/>
    <xf numFmtId="43" fontId="21" fillId="0" borderId="10" xfId="38" applyNumberFormat="1" applyFont="1" applyBorder="1"/>
    <xf numFmtId="43" fontId="21" fillId="0" borderId="11" xfId="38" applyNumberFormat="1" applyFont="1" applyBorder="1"/>
    <xf numFmtId="43" fontId="21" fillId="24" borderId="0" xfId="28" applyNumberFormat="1" applyFont="1" applyFill="1"/>
    <xf numFmtId="43" fontId="25" fillId="0" borderId="0" xfId="38" applyNumberFormat="1" applyFont="1" applyAlignment="1">
      <alignment horizontal="left"/>
    </xf>
    <xf numFmtId="43" fontId="21" fillId="0" borderId="12" xfId="38" applyNumberFormat="1" applyFont="1" applyBorder="1"/>
    <xf numFmtId="43" fontId="25" fillId="24" borderId="17" xfId="38" applyNumberFormat="1" applyFont="1" applyFill="1" applyBorder="1" applyAlignment="1">
      <alignment horizontal="right"/>
    </xf>
    <xf numFmtId="43" fontId="21" fillId="24" borderId="16" xfId="38" applyNumberFormat="1" applyFont="1" applyFill="1" applyBorder="1"/>
    <xf numFmtId="43" fontId="21" fillId="0" borderId="18" xfId="38" applyNumberFormat="1" applyFont="1" applyBorder="1"/>
    <xf numFmtId="43" fontId="25" fillId="24" borderId="21" xfId="38" applyNumberFormat="1" applyFont="1" applyFill="1" applyBorder="1" applyAlignment="1">
      <alignment horizontal="right"/>
    </xf>
    <xf numFmtId="0" fontId="27" fillId="25" borderId="0" xfId="0" applyFont="1" applyFill="1" applyAlignment="1">
      <alignment horizontal="center"/>
    </xf>
    <xf numFmtId="0" fontId="27" fillId="25" borderId="0" xfId="0" applyFont="1" applyFill="1" applyAlignment="1">
      <alignment horizontal="center" wrapText="1"/>
    </xf>
    <xf numFmtId="0" fontId="21" fillId="0" borderId="0" xfId="0" applyFont="1" applyAlignment="1">
      <alignment wrapText="1"/>
    </xf>
    <xf numFmtId="8" fontId="27" fillId="25" borderId="0" xfId="0" applyNumberFormat="1" applyFont="1" applyFill="1" applyAlignment="1">
      <alignment horizontal="center"/>
    </xf>
    <xf numFmtId="9" fontId="27" fillId="25" borderId="0" xfId="0" applyNumberFormat="1" applyFont="1" applyFill="1" applyAlignment="1">
      <alignment horizontal="center"/>
    </xf>
    <xf numFmtId="0" fontId="27" fillId="25" borderId="26" xfId="0" applyFont="1" applyFill="1" applyBorder="1" applyAlignment="1">
      <alignment horizontal="center" wrapText="1"/>
    </xf>
    <xf numFmtId="0" fontId="27" fillId="25" borderId="27" xfId="0" applyFont="1" applyFill="1" applyBorder="1" applyAlignment="1">
      <alignment horizontal="center" wrapText="1"/>
    </xf>
    <xf numFmtId="0" fontId="27" fillId="25" borderId="28" xfId="0" applyFont="1" applyFill="1" applyBorder="1" applyAlignment="1">
      <alignment horizontal="center" wrapText="1"/>
    </xf>
    <xf numFmtId="0" fontId="27" fillId="25" borderId="26" xfId="0" applyFont="1" applyFill="1" applyBorder="1" applyAlignment="1">
      <alignment horizontal="center"/>
    </xf>
    <xf numFmtId="0" fontId="27" fillId="25" borderId="27" xfId="0" applyFont="1" applyFill="1" applyBorder="1" applyAlignment="1">
      <alignment horizontal="center"/>
    </xf>
    <xf numFmtId="9" fontId="27" fillId="25" borderId="27" xfId="0" applyNumberFormat="1" applyFont="1" applyFill="1" applyBorder="1" applyAlignment="1">
      <alignment horizontal="center"/>
    </xf>
    <xf numFmtId="0" fontId="27" fillId="25" borderId="27" xfId="0" quotePrefix="1" applyFont="1" applyFill="1" applyBorder="1" applyAlignment="1">
      <alignment horizontal="center"/>
    </xf>
    <xf numFmtId="8" fontId="27" fillId="25" borderId="27" xfId="0" applyNumberFormat="1" applyFont="1" applyFill="1" applyBorder="1" applyAlignment="1">
      <alignment horizontal="center"/>
    </xf>
    <xf numFmtId="8" fontId="27" fillId="25" borderId="28" xfId="0" applyNumberFormat="1" applyFont="1" applyFill="1" applyBorder="1" applyAlignment="1">
      <alignment horizontal="center"/>
    </xf>
    <xf numFmtId="0" fontId="28" fillId="25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0" fontId="27" fillId="25" borderId="29" xfId="0" applyFont="1" applyFill="1" applyBorder="1" applyAlignment="1">
      <alignment horizontal="center"/>
    </xf>
    <xf numFmtId="0" fontId="27" fillId="25" borderId="30" xfId="0" applyFont="1" applyFill="1" applyBorder="1" applyAlignment="1">
      <alignment horizontal="center"/>
    </xf>
    <xf numFmtId="9" fontId="27" fillId="25" borderId="30" xfId="0" applyNumberFormat="1" applyFont="1" applyFill="1" applyBorder="1" applyAlignment="1">
      <alignment horizontal="center"/>
    </xf>
    <xf numFmtId="0" fontId="27" fillId="25" borderId="30" xfId="0" quotePrefix="1" applyFont="1" applyFill="1" applyBorder="1" applyAlignment="1">
      <alignment horizontal="center"/>
    </xf>
    <xf numFmtId="0" fontId="25" fillId="0" borderId="0" xfId="0" applyFont="1"/>
    <xf numFmtId="164" fontId="21" fillId="0" borderId="0" xfId="0" applyNumberFormat="1" applyFont="1"/>
    <xf numFmtId="164" fontId="25" fillId="0" borderId="0" xfId="0" applyNumberFormat="1" applyFont="1"/>
    <xf numFmtId="10" fontId="21" fillId="0" borderId="0" xfId="0" applyNumberFormat="1" applyFont="1"/>
    <xf numFmtId="0" fontId="29" fillId="0" borderId="34" xfId="0" applyFont="1" applyBorder="1"/>
    <xf numFmtId="164" fontId="21" fillId="0" borderId="34" xfId="0" applyNumberFormat="1" applyFont="1" applyBorder="1"/>
    <xf numFmtId="164" fontId="29" fillId="0" borderId="34" xfId="0" applyNumberFormat="1" applyFont="1" applyBorder="1"/>
    <xf numFmtId="0" fontId="21" fillId="0" borderId="34" xfId="0" applyFont="1" applyBorder="1"/>
    <xf numFmtId="0" fontId="28" fillId="0" borderId="34" xfId="0" applyFont="1" applyBorder="1"/>
    <xf numFmtId="0" fontId="27" fillId="0" borderId="0" xfId="0" applyFont="1"/>
    <xf numFmtId="0" fontId="30" fillId="0" borderId="34" xfId="0" applyFont="1" applyBorder="1"/>
    <xf numFmtId="164" fontId="29" fillId="0" borderId="35" xfId="0" applyNumberFormat="1" applyFont="1" applyBorder="1"/>
    <xf numFmtId="164" fontId="21" fillId="0" borderId="36" xfId="0" applyNumberFormat="1" applyFont="1" applyBorder="1"/>
    <xf numFmtId="0" fontId="29" fillId="0" borderId="32" xfId="0" applyFont="1" applyBorder="1"/>
    <xf numFmtId="164" fontId="21" fillId="0" borderId="32" xfId="0" applyNumberFormat="1" applyFont="1" applyBorder="1"/>
    <xf numFmtId="164" fontId="29" fillId="0" borderId="0" xfId="0" applyNumberFormat="1" applyFont="1"/>
    <xf numFmtId="0" fontId="21" fillId="0" borderId="32" xfId="0" applyFont="1" applyBorder="1"/>
    <xf numFmtId="0" fontId="21" fillId="0" borderId="33" xfId="0" applyFont="1" applyBorder="1"/>
    <xf numFmtId="164" fontId="21" fillId="0" borderId="33" xfId="0" applyNumberFormat="1" applyFont="1" applyBorder="1"/>
    <xf numFmtId="0" fontId="25" fillId="0" borderId="34" xfId="0" applyFont="1" applyBorder="1"/>
    <xf numFmtId="0" fontId="27" fillId="0" borderId="34" xfId="0" applyFont="1" applyBorder="1"/>
    <xf numFmtId="0" fontId="32" fillId="0" borderId="0" xfId="0" applyFont="1" applyAlignment="1">
      <alignment vertical="center"/>
    </xf>
    <xf numFmtId="44" fontId="21" fillId="0" borderId="0" xfId="0" applyNumberFormat="1" applyFont="1"/>
    <xf numFmtId="165" fontId="21" fillId="0" borderId="0" xfId="0" applyNumberFormat="1" applyFont="1"/>
    <xf numFmtId="0" fontId="33" fillId="0" borderId="0" xfId="0" applyFont="1" applyAlignment="1">
      <alignment horizontal="center"/>
    </xf>
    <xf numFmtId="44" fontId="21" fillId="0" borderId="0" xfId="45" applyFont="1" applyBorder="1" applyAlignment="1">
      <alignment horizontal="center"/>
    </xf>
    <xf numFmtId="0" fontId="21" fillId="0" borderId="0" xfId="0" applyFont="1" applyAlignment="1">
      <alignment horizontal="center"/>
    </xf>
    <xf numFmtId="9" fontId="21" fillId="0" borderId="0" xfId="0" applyNumberFormat="1" applyFont="1"/>
    <xf numFmtId="44" fontId="21" fillId="0" borderId="0" xfId="45" applyFont="1"/>
    <xf numFmtId="0" fontId="21" fillId="0" borderId="20" xfId="0" applyFont="1" applyBorder="1"/>
    <xf numFmtId="44" fontId="21" fillId="0" borderId="0" xfId="45" applyFont="1" applyBorder="1"/>
    <xf numFmtId="44" fontId="21" fillId="0" borderId="38" xfId="45" applyFont="1" applyBorder="1"/>
    <xf numFmtId="44" fontId="21" fillId="0" borderId="38" xfId="0" applyNumberFormat="1" applyFont="1" applyBorder="1"/>
    <xf numFmtId="0" fontId="21" fillId="0" borderId="38" xfId="0" applyFont="1" applyBorder="1"/>
    <xf numFmtId="0" fontId="21" fillId="0" borderId="13" xfId="0" applyFont="1" applyBorder="1"/>
    <xf numFmtId="0" fontId="21" fillId="0" borderId="11" xfId="0" applyFont="1" applyBorder="1"/>
    <xf numFmtId="44" fontId="34" fillId="0" borderId="31" xfId="0" applyNumberFormat="1" applyFont="1" applyBorder="1"/>
    <xf numFmtId="44" fontId="35" fillId="0" borderId="38" xfId="45" applyFont="1" applyBorder="1"/>
    <xf numFmtId="44" fontId="35" fillId="0" borderId="38" xfId="0" applyNumberFormat="1" applyFont="1" applyBorder="1"/>
    <xf numFmtId="9" fontId="21" fillId="24" borderId="0" xfId="38" applyNumberFormat="1" applyFont="1" applyFill="1"/>
    <xf numFmtId="1" fontId="25" fillId="0" borderId="14" xfId="38" applyNumberFormat="1" applyFont="1" applyBorder="1" applyAlignment="1">
      <alignment horizontal="center"/>
    </xf>
    <xf numFmtId="43" fontId="21" fillId="24" borderId="0" xfId="46" applyNumberFormat="1" applyFont="1" applyFill="1"/>
    <xf numFmtId="0" fontId="37" fillId="0" borderId="0" xfId="0" applyFont="1"/>
    <xf numFmtId="164" fontId="21" fillId="26" borderId="0" xfId="0" applyNumberFormat="1" applyFont="1" applyFill="1"/>
    <xf numFmtId="0" fontId="21" fillId="0" borderId="39" xfId="0" applyFont="1" applyBorder="1" applyAlignment="1">
      <alignment horizontal="center"/>
    </xf>
    <xf numFmtId="0" fontId="21" fillId="0" borderId="40" xfId="0" applyFont="1" applyBorder="1" applyAlignment="1">
      <alignment horizontal="center"/>
    </xf>
    <xf numFmtId="0" fontId="21" fillId="0" borderId="41" xfId="0" applyFont="1" applyBorder="1"/>
    <xf numFmtId="9" fontId="21" fillId="24" borderId="22" xfId="38" applyNumberFormat="1" applyFont="1" applyFill="1" applyBorder="1" applyAlignment="1">
      <alignment horizontal="center"/>
    </xf>
    <xf numFmtId="0" fontId="21" fillId="0" borderId="42" xfId="0" applyFont="1" applyBorder="1"/>
    <xf numFmtId="0" fontId="21" fillId="0" borderId="43" xfId="0" applyFont="1" applyBorder="1"/>
    <xf numFmtId="0" fontId="22" fillId="0" borderId="43" xfId="0" applyFont="1" applyBorder="1" applyAlignment="1">
      <alignment horizontal="center"/>
    </xf>
    <xf numFmtId="0" fontId="21" fillId="0" borderId="44" xfId="0" applyFont="1" applyBorder="1"/>
    <xf numFmtId="0" fontId="21" fillId="0" borderId="45" xfId="0" applyFont="1" applyBorder="1"/>
    <xf numFmtId="0" fontId="21" fillId="0" borderId="46" xfId="0" applyFont="1" applyBorder="1"/>
    <xf numFmtId="3" fontId="21" fillId="0" borderId="0" xfId="0" applyNumberFormat="1" applyFont="1"/>
    <xf numFmtId="0" fontId="36" fillId="0" borderId="0" xfId="0" applyFont="1"/>
    <xf numFmtId="0" fontId="21" fillId="0" borderId="46" xfId="0" applyFont="1" applyBorder="1" applyAlignment="1">
      <alignment horizontal="center" wrapText="1"/>
    </xf>
    <xf numFmtId="166" fontId="21" fillId="0" borderId="0" xfId="0" applyNumberFormat="1" applyFont="1"/>
    <xf numFmtId="168" fontId="21" fillId="0" borderId="0" xfId="0" applyNumberFormat="1" applyFont="1"/>
    <xf numFmtId="167" fontId="21" fillId="0" borderId="0" xfId="0" applyNumberFormat="1" applyFont="1"/>
    <xf numFmtId="169" fontId="21" fillId="0" borderId="0" xfId="0" applyNumberFormat="1" applyFont="1"/>
    <xf numFmtId="0" fontId="21" fillId="0" borderId="0" xfId="0" applyFont="1" applyAlignment="1">
      <alignment horizontal="right"/>
    </xf>
    <xf numFmtId="44" fontId="21" fillId="26" borderId="0" xfId="0" applyNumberFormat="1" applyFont="1" applyFill="1"/>
    <xf numFmtId="0" fontId="21" fillId="0" borderId="47" xfId="0" applyFont="1" applyBorder="1"/>
    <xf numFmtId="0" fontId="21" fillId="0" borderId="48" xfId="0" applyFont="1" applyBorder="1"/>
    <xf numFmtId="0" fontId="21" fillId="0" borderId="49" xfId="0" applyFont="1" applyBorder="1"/>
    <xf numFmtId="10" fontId="21" fillId="0" borderId="0" xfId="41" applyNumberFormat="1" applyFont="1"/>
    <xf numFmtId="170" fontId="21" fillId="0" borderId="0" xfId="0" applyNumberFormat="1" applyFont="1"/>
    <xf numFmtId="171" fontId="21" fillId="0" borderId="0" xfId="0" applyNumberFormat="1" applyFont="1"/>
    <xf numFmtId="0" fontId="21" fillId="26" borderId="0" xfId="0" applyFont="1" applyFill="1"/>
    <xf numFmtId="165" fontId="21" fillId="26" borderId="0" xfId="0" applyNumberFormat="1" applyFont="1" applyFill="1"/>
    <xf numFmtId="44" fontId="21" fillId="0" borderId="40" xfId="45" applyFont="1" applyBorder="1" applyAlignment="1">
      <alignment horizontal="center"/>
    </xf>
    <xf numFmtId="165" fontId="21" fillId="0" borderId="40" xfId="0" applyNumberFormat="1" applyFont="1" applyBorder="1"/>
    <xf numFmtId="165" fontId="21" fillId="0" borderId="50" xfId="0" applyNumberFormat="1" applyFont="1" applyBorder="1"/>
    <xf numFmtId="44" fontId="21" fillId="0" borderId="51" xfId="45" applyFont="1" applyBorder="1" applyAlignment="1">
      <alignment horizontal="center"/>
    </xf>
    <xf numFmtId="1" fontId="21" fillId="0" borderId="0" xfId="0" applyNumberFormat="1" applyFont="1"/>
    <xf numFmtId="2" fontId="25" fillId="0" borderId="11" xfId="38" applyNumberFormat="1" applyFont="1" applyBorder="1"/>
    <xf numFmtId="9" fontId="21" fillId="24" borderId="11" xfId="41" applyFont="1" applyFill="1" applyBorder="1"/>
    <xf numFmtId="9" fontId="21" fillId="24" borderId="0" xfId="41" applyFont="1" applyFill="1"/>
    <xf numFmtId="0" fontId="36" fillId="0" borderId="0" xfId="0" applyFont="1" applyAlignment="1">
      <alignment horizontal="center"/>
    </xf>
    <xf numFmtId="0" fontId="40" fillId="0" borderId="0" xfId="0" applyFont="1"/>
    <xf numFmtId="43" fontId="21" fillId="27" borderId="0" xfId="28" applyNumberFormat="1" applyFont="1" applyFill="1"/>
    <xf numFmtId="0" fontId="40" fillId="0" borderId="10" xfId="0" applyFont="1" applyBorder="1"/>
    <xf numFmtId="1" fontId="27" fillId="25" borderId="27" xfId="0" applyNumberFormat="1" applyFont="1" applyFill="1" applyBorder="1" applyAlignment="1">
      <alignment horizontal="center"/>
    </xf>
    <xf numFmtId="1" fontId="27" fillId="25" borderId="52" xfId="0" applyNumberFormat="1" applyFont="1" applyFill="1" applyBorder="1" applyAlignment="1">
      <alignment horizontal="center"/>
    </xf>
    <xf numFmtId="8" fontId="27" fillId="25" borderId="53" xfId="0" applyNumberFormat="1" applyFont="1" applyFill="1" applyBorder="1" applyAlignment="1">
      <alignment horizontal="center"/>
    </xf>
    <xf numFmtId="8" fontId="27" fillId="25" borderId="54" xfId="0" applyNumberFormat="1" applyFont="1" applyFill="1" applyBorder="1" applyAlignment="1">
      <alignment horizontal="center"/>
    </xf>
    <xf numFmtId="0" fontId="27" fillId="25" borderId="52" xfId="0" applyFont="1" applyFill="1" applyBorder="1" applyAlignment="1">
      <alignment horizontal="center"/>
    </xf>
    <xf numFmtId="0" fontId="40" fillId="0" borderId="10" xfId="0" applyFont="1" applyBorder="1" applyAlignment="1">
      <alignment horizontal="center"/>
    </xf>
    <xf numFmtId="0" fontId="40" fillId="0" borderId="0" xfId="0" applyFont="1" applyAlignment="1">
      <alignment horizontal="center"/>
    </xf>
    <xf numFmtId="8" fontId="40" fillId="26" borderId="0" xfId="0" applyNumberFormat="1" applyFont="1" applyFill="1"/>
    <xf numFmtId="8" fontId="40" fillId="0" borderId="0" xfId="0" applyNumberFormat="1" applyFont="1"/>
    <xf numFmtId="10" fontId="40" fillId="0" borderId="0" xfId="46" applyNumberFormat="1" applyFont="1" applyBorder="1" applyAlignment="1">
      <alignment horizontal="center"/>
    </xf>
    <xf numFmtId="0" fontId="27" fillId="25" borderId="12" xfId="0" applyFont="1" applyFill="1" applyBorder="1" applyAlignment="1">
      <alignment horizontal="center"/>
    </xf>
    <xf numFmtId="0" fontId="27" fillId="25" borderId="37" xfId="0" applyFont="1" applyFill="1" applyBorder="1" applyAlignment="1">
      <alignment horizontal="center"/>
    </xf>
    <xf numFmtId="0" fontId="27" fillId="25" borderId="20" xfId="0" applyFont="1" applyFill="1" applyBorder="1" applyAlignment="1">
      <alignment horizontal="center"/>
    </xf>
    <xf numFmtId="0" fontId="27" fillId="25" borderId="38" xfId="0" applyFont="1" applyFill="1" applyBorder="1" applyAlignment="1">
      <alignment horizontal="center"/>
    </xf>
    <xf numFmtId="0" fontId="27" fillId="25" borderId="38" xfId="0" applyFont="1" applyFill="1" applyBorder="1" applyAlignment="1">
      <alignment horizontal="center" wrapText="1"/>
    </xf>
    <xf numFmtId="0" fontId="40" fillId="0" borderId="20" xfId="0" applyFont="1" applyBorder="1"/>
    <xf numFmtId="0" fontId="40" fillId="0" borderId="38" xfId="0" applyFont="1" applyBorder="1"/>
    <xf numFmtId="0" fontId="40" fillId="0" borderId="13" xfId="0" applyFont="1" applyBorder="1"/>
    <xf numFmtId="0" fontId="40" fillId="0" borderId="11" xfId="0" applyFont="1" applyBorder="1"/>
    <xf numFmtId="0" fontId="40" fillId="0" borderId="31" xfId="0" applyFont="1" applyBorder="1"/>
    <xf numFmtId="1" fontId="21" fillId="24" borderId="0" xfId="45" applyNumberFormat="1" applyFont="1" applyFill="1"/>
    <xf numFmtId="8" fontId="21" fillId="0" borderId="0" xfId="38" applyNumberFormat="1" applyFont="1"/>
    <xf numFmtId="1" fontId="40" fillId="0" borderId="0" xfId="0" applyNumberFormat="1" applyFont="1" applyAlignment="1">
      <alignment horizontal="center"/>
    </xf>
    <xf numFmtId="8" fontId="27" fillId="25" borderId="52" xfId="0" applyNumberFormat="1" applyFont="1" applyFill="1" applyBorder="1" applyAlignment="1">
      <alignment horizontal="center"/>
    </xf>
    <xf numFmtId="8" fontId="40" fillId="0" borderId="0" xfId="0" applyNumberFormat="1" applyFont="1" applyAlignment="1">
      <alignment horizontal="center"/>
    </xf>
    <xf numFmtId="8" fontId="40" fillId="0" borderId="38" xfId="0" applyNumberFormat="1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164" fontId="21" fillId="0" borderId="55" xfId="0" applyNumberFormat="1" applyFont="1" applyBorder="1"/>
    <xf numFmtId="165" fontId="21" fillId="0" borderId="56" xfId="0" applyNumberFormat="1" applyFont="1" applyBorder="1"/>
    <xf numFmtId="44" fontId="21" fillId="0" borderId="55" xfId="45" applyFont="1" applyBorder="1" applyAlignment="1">
      <alignment horizontal="center"/>
    </xf>
    <xf numFmtId="165" fontId="21" fillId="0" borderId="55" xfId="0" applyNumberFormat="1" applyFont="1" applyBorder="1"/>
    <xf numFmtId="44" fontId="21" fillId="0" borderId="40" xfId="0" applyNumberFormat="1" applyFont="1" applyBorder="1" applyAlignment="1">
      <alignment horizontal="center"/>
    </xf>
    <xf numFmtId="0" fontId="42" fillId="0" borderId="0" xfId="0" applyFont="1"/>
    <xf numFmtId="0" fontId="42" fillId="0" borderId="0" xfId="0" applyFont="1" applyAlignment="1">
      <alignment horizontal="right"/>
    </xf>
    <xf numFmtId="44" fontId="42" fillId="0" borderId="0" xfId="45" applyFont="1"/>
    <xf numFmtId="44" fontId="42" fillId="0" borderId="0" xfId="45" applyFont="1" applyAlignment="1">
      <alignment horizontal="right"/>
    </xf>
    <xf numFmtId="0" fontId="45" fillId="0" borderId="0" xfId="0" applyFont="1" applyAlignment="1">
      <alignment horizontal="right"/>
    </xf>
    <xf numFmtId="0" fontId="46" fillId="0" borderId="55" xfId="0" applyFont="1" applyBorder="1" applyAlignment="1">
      <alignment horizontal="right"/>
    </xf>
    <xf numFmtId="44" fontId="46" fillId="0" borderId="55" xfId="45" applyFont="1" applyBorder="1"/>
    <xf numFmtId="0" fontId="47" fillId="0" borderId="0" xfId="0" applyFont="1" applyAlignment="1">
      <alignment horizontal="right"/>
    </xf>
    <xf numFmtId="0" fontId="42" fillId="0" borderId="57" xfId="0" applyFont="1" applyBorder="1"/>
    <xf numFmtId="9" fontId="21" fillId="0" borderId="0" xfId="46" applyFont="1"/>
    <xf numFmtId="0" fontId="49" fillId="0" borderId="0" xfId="0" applyFont="1"/>
    <xf numFmtId="43" fontId="21" fillId="24" borderId="16" xfId="28" applyNumberFormat="1" applyFont="1" applyFill="1" applyBorder="1" applyAlignment="1">
      <alignment horizontal="center"/>
    </xf>
    <xf numFmtId="43" fontId="25" fillId="0" borderId="0" xfId="38" applyNumberFormat="1" applyFont="1" applyAlignment="1">
      <alignment horizontal="right" vertical="center"/>
    </xf>
    <xf numFmtId="2" fontId="21" fillId="0" borderId="0" xfId="45" applyNumberFormat="1" applyFont="1" applyBorder="1"/>
    <xf numFmtId="0" fontId="0" fillId="0" borderId="57" xfId="0" applyBorder="1"/>
    <xf numFmtId="44" fontId="42" fillId="0" borderId="57" xfId="45" applyFont="1" applyBorder="1"/>
    <xf numFmtId="44" fontId="46" fillId="26" borderId="0" xfId="0" applyNumberFormat="1" applyFont="1" applyFill="1"/>
    <xf numFmtId="44" fontId="46" fillId="0" borderId="55" xfId="45" applyFont="1" applyFill="1" applyBorder="1"/>
    <xf numFmtId="44" fontId="21" fillId="0" borderId="10" xfId="0" applyNumberFormat="1" applyFont="1" applyBorder="1"/>
    <xf numFmtId="44" fontId="42" fillId="0" borderId="0" xfId="45" applyFont="1" applyFill="1"/>
    <xf numFmtId="0" fontId="50" fillId="0" borderId="0" xfId="0" applyFont="1"/>
    <xf numFmtId="0" fontId="51" fillId="0" borderId="0" xfId="0" applyFont="1"/>
    <xf numFmtId="8" fontId="51" fillId="0" borderId="0" xfId="0" applyNumberFormat="1" applyFont="1"/>
    <xf numFmtId="3" fontId="51" fillId="0" borderId="0" xfId="0" applyNumberFormat="1" applyFont="1"/>
    <xf numFmtId="10" fontId="51" fillId="0" borderId="0" xfId="0" applyNumberFormat="1" applyFont="1"/>
    <xf numFmtId="37" fontId="51" fillId="0" borderId="0" xfId="0" applyNumberFormat="1" applyFont="1"/>
    <xf numFmtId="0" fontId="51" fillId="0" borderId="10" xfId="0" applyFont="1" applyBorder="1" applyAlignment="1">
      <alignment horizontal="center"/>
    </xf>
    <xf numFmtId="10" fontId="51" fillId="0" borderId="0" xfId="41" applyNumberFormat="1" applyFont="1"/>
    <xf numFmtId="0" fontId="51" fillId="0" borderId="0" xfId="0" applyFont="1" applyAlignment="1">
      <alignment horizontal="right"/>
    </xf>
    <xf numFmtId="173" fontId="51" fillId="0" borderId="0" xfId="0" applyNumberFormat="1" applyFont="1" applyAlignment="1">
      <alignment horizontal="center"/>
    </xf>
    <xf numFmtId="10" fontId="51" fillId="0" borderId="0" xfId="41" applyNumberFormat="1" applyFont="1" applyAlignment="1">
      <alignment horizontal="center"/>
    </xf>
    <xf numFmtId="37" fontId="55" fillId="0" borderId="0" xfId="0" applyNumberFormat="1" applyFont="1" applyAlignment="1">
      <alignment horizontal="center"/>
    </xf>
    <xf numFmtId="172" fontId="51" fillId="0" borderId="0" xfId="0" applyNumberFormat="1" applyFont="1"/>
    <xf numFmtId="37" fontId="51" fillId="0" borderId="10" xfId="0" applyNumberFormat="1" applyFont="1" applyBorder="1"/>
    <xf numFmtId="172" fontId="51" fillId="0" borderId="10" xfId="0" applyNumberFormat="1" applyFont="1" applyBorder="1"/>
    <xf numFmtId="39" fontId="51" fillId="0" borderId="0" xfId="0" applyNumberFormat="1" applyFont="1"/>
    <xf numFmtId="9" fontId="51" fillId="0" borderId="0" xfId="41" applyFont="1"/>
    <xf numFmtId="37" fontId="51" fillId="0" borderId="59" xfId="0" applyNumberFormat="1" applyFont="1" applyBorder="1" applyAlignment="1">
      <alignment horizontal="center"/>
    </xf>
    <xf numFmtId="10" fontId="51" fillId="0" borderId="0" xfId="41" applyNumberFormat="1" applyFont="1" applyBorder="1" applyAlignment="1">
      <alignment horizontal="center"/>
    </xf>
    <xf numFmtId="10" fontId="51" fillId="0" borderId="10" xfId="41" applyNumberFormat="1" applyFont="1" applyBorder="1" applyAlignment="1">
      <alignment horizontal="center"/>
    </xf>
    <xf numFmtId="37" fontId="51" fillId="0" borderId="0" xfId="0" applyNumberFormat="1" applyFont="1" applyAlignment="1">
      <alignment horizontal="center"/>
    </xf>
    <xf numFmtId="10" fontId="50" fillId="0" borderId="0" xfId="41" applyNumberFormat="1" applyFont="1" applyBorder="1" applyAlignment="1">
      <alignment horizontal="center"/>
    </xf>
    <xf numFmtId="172" fontId="51" fillId="0" borderId="0" xfId="0" quotePrefix="1" applyNumberFormat="1" applyFont="1"/>
    <xf numFmtId="10" fontId="50" fillId="0" borderId="58" xfId="41" applyNumberFormat="1" applyFont="1" applyBorder="1" applyAlignment="1">
      <alignment horizontal="center"/>
    </xf>
    <xf numFmtId="0" fontId="50" fillId="0" borderId="60" xfId="0" applyFont="1" applyBorder="1"/>
    <xf numFmtId="0" fontId="51" fillId="0" borderId="60" xfId="0" applyFont="1" applyBorder="1"/>
    <xf numFmtId="0" fontId="52" fillId="0" borderId="60" xfId="0" applyFont="1" applyBorder="1"/>
    <xf numFmtId="37" fontId="51" fillId="0" borderId="60" xfId="0" applyNumberFormat="1" applyFont="1" applyBorder="1"/>
    <xf numFmtId="0" fontId="51" fillId="0" borderId="61" xfId="0" applyFont="1" applyBorder="1" applyAlignment="1">
      <alignment horizontal="center"/>
    </xf>
    <xf numFmtId="0" fontId="51" fillId="0" borderId="60" xfId="0" applyFont="1" applyBorder="1" applyAlignment="1">
      <alignment horizontal="right"/>
    </xf>
    <xf numFmtId="37" fontId="53" fillId="0" borderId="60" xfId="0" applyNumberFormat="1" applyFont="1" applyBorder="1"/>
    <xf numFmtId="37" fontId="54" fillId="0" borderId="60" xfId="0" applyNumberFormat="1" applyFont="1" applyBorder="1"/>
    <xf numFmtId="37" fontId="50" fillId="0" borderId="60" xfId="0" applyNumberFormat="1" applyFont="1" applyBorder="1"/>
    <xf numFmtId="37" fontId="50" fillId="0" borderId="61" xfId="0" applyNumberFormat="1" applyFont="1" applyBorder="1"/>
    <xf numFmtId="37" fontId="51" fillId="0" borderId="60" xfId="0" quotePrefix="1" applyNumberFormat="1" applyFont="1" applyBorder="1" applyAlignment="1">
      <alignment horizontal="center"/>
    </xf>
    <xf numFmtId="0" fontId="50" fillId="0" borderId="10" xfId="0" applyFont="1" applyBorder="1"/>
    <xf numFmtId="6" fontId="51" fillId="0" borderId="0" xfId="0" applyNumberFormat="1" applyFont="1"/>
    <xf numFmtId="2" fontId="51" fillId="0" borderId="0" xfId="0" applyNumberFormat="1" applyFont="1"/>
    <xf numFmtId="10" fontId="50" fillId="0" borderId="32" xfId="0" applyNumberFormat="1" applyFont="1" applyBorder="1"/>
    <xf numFmtId="10" fontId="51" fillId="0" borderId="32" xfId="0" applyNumberFormat="1" applyFont="1" applyBorder="1"/>
    <xf numFmtId="10" fontId="50" fillId="0" borderId="0" xfId="0" applyNumberFormat="1" applyFont="1"/>
    <xf numFmtId="174" fontId="21" fillId="24" borderId="0" xfId="41" applyNumberFormat="1" applyFont="1" applyFill="1"/>
    <xf numFmtId="174" fontId="21" fillId="24" borderId="0" xfId="38" applyNumberFormat="1" applyFont="1" applyFill="1"/>
    <xf numFmtId="0" fontId="56" fillId="0" borderId="0" xfId="0" applyFont="1"/>
    <xf numFmtId="175" fontId="56" fillId="0" borderId="0" xfId="0" applyNumberFormat="1" applyFont="1"/>
    <xf numFmtId="8" fontId="56" fillId="0" borderId="0" xfId="0" applyNumberFormat="1" applyFont="1"/>
    <xf numFmtId="8" fontId="21" fillId="0" borderId="0" xfId="45" applyNumberFormat="1" applyFont="1" applyBorder="1" applyAlignment="1">
      <alignment horizontal="center"/>
    </xf>
    <xf numFmtId="174" fontId="21" fillId="0" borderId="0" xfId="46" applyNumberFormat="1" applyFont="1"/>
    <xf numFmtId="0" fontId="21" fillId="0" borderId="20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38" xfId="0" applyFont="1" applyBorder="1" applyAlignment="1">
      <alignment horizontal="center"/>
    </xf>
    <xf numFmtId="0" fontId="21" fillId="0" borderId="19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22" fillId="0" borderId="43" xfId="0" applyFont="1" applyBorder="1" applyAlignment="1">
      <alignment horizontal="center"/>
    </xf>
    <xf numFmtId="0" fontId="37" fillId="0" borderId="0" xfId="0" applyFont="1" applyAlignment="1">
      <alignment horizontal="center"/>
    </xf>
    <xf numFmtId="0" fontId="21" fillId="0" borderId="46" xfId="0" applyFont="1" applyBorder="1" applyAlignment="1">
      <alignment horizontal="center" wrapText="1"/>
    </xf>
    <xf numFmtId="0" fontId="21" fillId="0" borderId="45" xfId="0" applyFont="1" applyBorder="1" applyAlignment="1">
      <alignment horizontal="center" wrapText="1"/>
    </xf>
    <xf numFmtId="0" fontId="37" fillId="26" borderId="0" xfId="0" applyFont="1" applyFill="1" applyAlignment="1">
      <alignment horizontal="center"/>
    </xf>
    <xf numFmtId="0" fontId="39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28" fillId="25" borderId="23" xfId="0" applyFont="1" applyFill="1" applyBorder="1" applyAlignment="1">
      <alignment horizontal="center"/>
    </xf>
    <xf numFmtId="0" fontId="28" fillId="25" borderId="24" xfId="0" applyFont="1" applyFill="1" applyBorder="1" applyAlignment="1">
      <alignment horizontal="center"/>
    </xf>
    <xf numFmtId="0" fontId="28" fillId="25" borderId="25" xfId="0" applyFont="1" applyFill="1" applyBorder="1" applyAlignment="1">
      <alignment horizontal="center"/>
    </xf>
    <xf numFmtId="0" fontId="27" fillId="25" borderId="0" xfId="0" applyFont="1" applyFill="1" applyAlignment="1">
      <alignment horizontal="center"/>
    </xf>
    <xf numFmtId="0" fontId="40" fillId="0" borderId="0" xfId="0" applyFont="1" applyAlignment="1">
      <alignment horizontal="center"/>
    </xf>
    <xf numFmtId="0" fontId="41" fillId="25" borderId="19" xfId="0" applyFont="1" applyFill="1" applyBorder="1" applyAlignment="1">
      <alignment horizontal="center"/>
    </xf>
    <xf numFmtId="0" fontId="41" fillId="25" borderId="12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8" fillId="0" borderId="0" xfId="0" applyFont="1" applyAlignment="1">
      <alignment horizontal="center"/>
    </xf>
    <xf numFmtId="0" fontId="44" fillId="0" borderId="10" xfId="0" applyFont="1" applyBorder="1" applyAlignment="1">
      <alignment horizontal="center"/>
    </xf>
    <xf numFmtId="0" fontId="43" fillId="0" borderId="0" xfId="0" applyFont="1" applyAlignment="1">
      <alignment horizontal="center"/>
    </xf>
    <xf numFmtId="0" fontId="48" fillId="0" borderId="0" xfId="0" applyFont="1" applyAlignment="1">
      <alignment horizontal="center" vertical="center"/>
    </xf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5" builtinId="4"/>
    <cellStyle name="Currency 2" xfId="28" xr:uid="{00000000-0005-0000-0000-00001C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47" xr:uid="{C3A3182C-D750-477F-A353-323A31A75E60}"/>
    <cellStyle name="Normal_CH9_MMCC" xfId="38" xr:uid="{00000000-0005-0000-0000-000027000000}"/>
    <cellStyle name="Note" xfId="39" builtinId="10" customBuiltin="1"/>
    <cellStyle name="Output" xfId="40" builtinId="21" customBuiltin="1"/>
    <cellStyle name="Percent" xfId="46" builtinId="5"/>
    <cellStyle name="Percent 2" xfId="41" xr:uid="{00000000-0005-0000-0000-00002A000000}"/>
    <cellStyle name="Title" xfId="42" builtinId="15" customBuiltin="1"/>
    <cellStyle name="Total" xfId="43" builtinId="25" customBuiltin="1"/>
    <cellStyle name="Warning Text" xfId="44" builtinId="11" customBuiltin="1"/>
  </cellStyles>
  <dxfs count="7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70</xdr:row>
      <xdr:rowOff>0</xdr:rowOff>
    </xdr:from>
    <xdr:to>
      <xdr:col>4</xdr:col>
      <xdr:colOff>0</xdr:colOff>
      <xdr:row>70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4086225" y="1109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70</xdr:row>
      <xdr:rowOff>0</xdr:rowOff>
    </xdr:from>
    <xdr:to>
      <xdr:col>4</xdr:col>
      <xdr:colOff>381000</xdr:colOff>
      <xdr:row>70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4467225" y="1109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70</xdr:row>
      <xdr:rowOff>0</xdr:rowOff>
    </xdr:from>
    <xdr:to>
      <xdr:col>5</xdr:col>
      <xdr:colOff>371475</xdr:colOff>
      <xdr:row>70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5314950" y="1109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70</xdr:row>
      <xdr:rowOff>0</xdr:rowOff>
    </xdr:from>
    <xdr:to>
      <xdr:col>6</xdr:col>
      <xdr:colOff>314325</xdr:colOff>
      <xdr:row>70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6115050" y="1109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70</xdr:row>
      <xdr:rowOff>0</xdr:rowOff>
    </xdr:from>
    <xdr:to>
      <xdr:col>4</xdr:col>
      <xdr:colOff>0</xdr:colOff>
      <xdr:row>70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D0A2307-327A-416A-9352-623DBE5B4975}"/>
            </a:ext>
          </a:extLst>
        </xdr:cNvPr>
        <xdr:cNvSpPr>
          <a:spLocks noChangeShapeType="1"/>
        </xdr:cNvSpPr>
      </xdr:nvSpPr>
      <xdr:spPr bwMode="auto">
        <a:xfrm>
          <a:off x="447675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70</xdr:row>
      <xdr:rowOff>0</xdr:rowOff>
    </xdr:from>
    <xdr:to>
      <xdr:col>4</xdr:col>
      <xdr:colOff>381000</xdr:colOff>
      <xdr:row>70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E67F6A13-16EB-4A6D-BFBE-71C9AD4A4BB1}"/>
            </a:ext>
          </a:extLst>
        </xdr:cNvPr>
        <xdr:cNvSpPr>
          <a:spLocks noChangeShapeType="1"/>
        </xdr:cNvSpPr>
      </xdr:nvSpPr>
      <xdr:spPr bwMode="auto">
        <a:xfrm>
          <a:off x="485775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70</xdr:row>
      <xdr:rowOff>0</xdr:rowOff>
    </xdr:from>
    <xdr:to>
      <xdr:col>5</xdr:col>
      <xdr:colOff>371475</xdr:colOff>
      <xdr:row>70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6669087F-1190-442C-BD4C-0DC36B34B25A}"/>
            </a:ext>
          </a:extLst>
        </xdr:cNvPr>
        <xdr:cNvSpPr>
          <a:spLocks noChangeShapeType="1"/>
        </xdr:cNvSpPr>
      </xdr:nvSpPr>
      <xdr:spPr bwMode="auto">
        <a:xfrm>
          <a:off x="586740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70</xdr:row>
      <xdr:rowOff>0</xdr:rowOff>
    </xdr:from>
    <xdr:to>
      <xdr:col>6</xdr:col>
      <xdr:colOff>314325</xdr:colOff>
      <xdr:row>70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951BC034-2CC2-4B43-AB04-43C642285997}"/>
            </a:ext>
          </a:extLst>
        </xdr:cNvPr>
        <xdr:cNvSpPr>
          <a:spLocks noChangeShapeType="1"/>
        </xdr:cNvSpPr>
      </xdr:nvSpPr>
      <xdr:spPr bwMode="auto">
        <a:xfrm>
          <a:off x="6829425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70</xdr:row>
      <xdr:rowOff>0</xdr:rowOff>
    </xdr:from>
    <xdr:to>
      <xdr:col>4</xdr:col>
      <xdr:colOff>0</xdr:colOff>
      <xdr:row>70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355F024-1E98-4483-9E0C-85585BA95CC5}"/>
            </a:ext>
          </a:extLst>
        </xdr:cNvPr>
        <xdr:cNvSpPr>
          <a:spLocks noChangeShapeType="1"/>
        </xdr:cNvSpPr>
      </xdr:nvSpPr>
      <xdr:spPr bwMode="auto">
        <a:xfrm>
          <a:off x="447675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70</xdr:row>
      <xdr:rowOff>0</xdr:rowOff>
    </xdr:from>
    <xdr:to>
      <xdr:col>4</xdr:col>
      <xdr:colOff>381000</xdr:colOff>
      <xdr:row>70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AF1EC2CE-C06E-46B6-B071-4335567027A3}"/>
            </a:ext>
          </a:extLst>
        </xdr:cNvPr>
        <xdr:cNvSpPr>
          <a:spLocks noChangeShapeType="1"/>
        </xdr:cNvSpPr>
      </xdr:nvSpPr>
      <xdr:spPr bwMode="auto">
        <a:xfrm>
          <a:off x="485775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70</xdr:row>
      <xdr:rowOff>0</xdr:rowOff>
    </xdr:from>
    <xdr:to>
      <xdr:col>5</xdr:col>
      <xdr:colOff>371475</xdr:colOff>
      <xdr:row>70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BAF35049-8A78-4180-8CD5-A72C30451149}"/>
            </a:ext>
          </a:extLst>
        </xdr:cNvPr>
        <xdr:cNvSpPr>
          <a:spLocks noChangeShapeType="1"/>
        </xdr:cNvSpPr>
      </xdr:nvSpPr>
      <xdr:spPr bwMode="auto">
        <a:xfrm>
          <a:off x="586740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70</xdr:row>
      <xdr:rowOff>0</xdr:rowOff>
    </xdr:from>
    <xdr:to>
      <xdr:col>6</xdr:col>
      <xdr:colOff>314325</xdr:colOff>
      <xdr:row>70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679002AB-E8E0-4F4E-BBAB-038B1648D055}"/>
            </a:ext>
          </a:extLst>
        </xdr:cNvPr>
        <xdr:cNvSpPr>
          <a:spLocks noChangeShapeType="1"/>
        </xdr:cNvSpPr>
      </xdr:nvSpPr>
      <xdr:spPr bwMode="auto">
        <a:xfrm>
          <a:off x="6829425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70</xdr:row>
      <xdr:rowOff>0</xdr:rowOff>
    </xdr:from>
    <xdr:to>
      <xdr:col>4</xdr:col>
      <xdr:colOff>0</xdr:colOff>
      <xdr:row>70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71F5A070-EEA2-4673-88CF-5CDD691B402B}"/>
            </a:ext>
          </a:extLst>
        </xdr:cNvPr>
        <xdr:cNvSpPr>
          <a:spLocks noChangeShapeType="1"/>
        </xdr:cNvSpPr>
      </xdr:nvSpPr>
      <xdr:spPr bwMode="auto">
        <a:xfrm>
          <a:off x="4429125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381000</xdr:colOff>
      <xdr:row>70</xdr:row>
      <xdr:rowOff>0</xdr:rowOff>
    </xdr:from>
    <xdr:to>
      <xdr:col>4</xdr:col>
      <xdr:colOff>381000</xdr:colOff>
      <xdr:row>70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C26B7841-2965-4C8A-BC11-C2A99837E57E}"/>
            </a:ext>
          </a:extLst>
        </xdr:cNvPr>
        <xdr:cNvSpPr>
          <a:spLocks noChangeShapeType="1"/>
        </xdr:cNvSpPr>
      </xdr:nvSpPr>
      <xdr:spPr bwMode="auto">
        <a:xfrm>
          <a:off x="4810125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371475</xdr:colOff>
      <xdr:row>70</xdr:row>
      <xdr:rowOff>0</xdr:rowOff>
    </xdr:from>
    <xdr:to>
      <xdr:col>5</xdr:col>
      <xdr:colOff>371475</xdr:colOff>
      <xdr:row>70</xdr:row>
      <xdr:rowOff>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DCD94E85-1654-4305-9DCF-E01B513A5FFB}"/>
            </a:ext>
          </a:extLst>
        </xdr:cNvPr>
        <xdr:cNvSpPr>
          <a:spLocks noChangeShapeType="1"/>
        </xdr:cNvSpPr>
      </xdr:nvSpPr>
      <xdr:spPr bwMode="auto">
        <a:xfrm>
          <a:off x="5819775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314325</xdr:colOff>
      <xdr:row>70</xdr:row>
      <xdr:rowOff>0</xdr:rowOff>
    </xdr:from>
    <xdr:to>
      <xdr:col>6</xdr:col>
      <xdr:colOff>314325</xdr:colOff>
      <xdr:row>70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28C8BAFE-BF6A-425C-B4DC-69D072F606F9}"/>
            </a:ext>
          </a:extLst>
        </xdr:cNvPr>
        <xdr:cNvSpPr>
          <a:spLocks noChangeShapeType="1"/>
        </xdr:cNvSpPr>
      </xdr:nvSpPr>
      <xdr:spPr bwMode="auto">
        <a:xfrm>
          <a:off x="6781800" y="114395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an Sickmeier" id="{39E0A7DA-F189-434E-A812-058B04DAA462}" userId="d57f8fa61db4e89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Strict Garamond">
      <a:majorFont>
        <a:latin typeface="Garamond"/>
        <a:ea typeface=""/>
        <a:cs typeface=""/>
      </a:majorFont>
      <a:minorFont>
        <a:latin typeface="Garam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dT="2023-11-20T22:34:23.87" personId="{00000000-0000-0000-0000-000000000000}" id="{F6FE6B11-C049-4B4B-8218-75F0FCD5E725}">
    <text>Assuming 1,000 tb each year. Given the info that 10Gb = $2.20 per year.</text>
  </threadedComment>
  <threadedComment ref="C17" dT="2023-12-01T01:18:47.83" personId="{39E0A7DA-F189-434E-A812-058B04DAA462}" id="{37D67796-BE63-4C7C-91AF-AB994199B25D}">
    <text>QuickBooks costs $90 per month x 12 months = $1,080</text>
  </threadedComment>
  <threadedComment ref="C18" dT="2023-12-01T01:12:11.81" personId="{39E0A7DA-F189-434E-A812-058B04DAA462}" id="{DF86E04B-224E-4055-BD27-98C5DCF6E5E4}">
    <text>According to this website (all their options): https://intrinio.com/pricing</text>
    <extLst>
      <x:ext xmlns:xltc2="http://schemas.microsoft.com/office/spreadsheetml/2020/threadedcomments2" uri="{F7C98A9C-CBB3-438F-8F68-D28B6AF4A901}">
        <xltc2:checksum>17298079</xltc2:checksum>
        <xltc2:hyperlink startIndex="47" length="28" url="https://intrinio.com/pricing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3-12-08T01:36:11.63" personId="{39E0A7DA-F189-434E-A812-058B04DAA462}" id="{F64A1C0B-BAD7-4B19-BD89-6978C7B5A56E}">
    <text>According to MarketWatch</text>
  </threadedComment>
  <threadedComment ref="V3" dT="2023-12-08T01:36:36.20" personId="{39E0A7DA-F189-434E-A812-058B04DAA462}" id="{3D0E2E52-C147-480C-904D-132CBB9EF014}">
    <text>According to MarketWatch</text>
  </threadedComment>
  <threadedComment ref="AF3" dT="2023-12-08T01:36:36.20" personId="{39E0A7DA-F189-434E-A812-058B04DAA462}" id="{B076F136-C0EE-46AF-93B9-68DE01343E93}">
    <text>According to MarketWatch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22" dT="2023-12-11T15:25:31.08" personId="{39E0A7DA-F189-434E-A812-058B04DAA462}" id="{2A1FD05D-9B28-4059-9C7B-CBA8385959E0}">
    <text>Please note that these salaries are calculated as the average of the equivalent of three years of wages plus the standard annual bonus rate. 
Calculation
Listed Salary = (Year 3 Adjusted Salary + Year 4 Adjusted Salary + Year 5 Adjusted Salary) / 3 years
Year X Adjusted Salary = (Previous Year Salary * (1 + Standard Bonus Rate))
EXCEL FORMULA
For the CEO formula:
=ROUNDUP(((B5*$J$20)+(B5*($J$20^2))+(B5*($J$20^3)))/3,-2)</text>
  </threadedComment>
  <threadedComment ref="M30" dT="2023-12-01T02:24:54.28" personId="{39E0A7DA-F189-434E-A812-058B04DAA462}" id="{C0088CCD-010B-4B6D-841C-80A7323C2932}">
    <text>Sales Professional/Regional Representative</text>
  </threadedComment>
  <threadedComment ref="N30" dT="2023-12-01T02:34:02.42" personId="{39E0A7DA-F189-434E-A812-058B04DAA462}" id="{C4D0147C-2760-4870-AEA7-2330D64B4931}">
    <text>For both SP/RR, it is $25,000 + 1% of sales of their region)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J43" dT="2023-12-01T02:24:54.28" personId="{39E0A7DA-F189-434E-A812-058B04DAA462}" id="{5FDD1B3F-8B44-4463-ADDB-A77DFE2D0E72}">
    <text>Sales Professional/Regional Representative</text>
  </threadedComment>
  <threadedComment ref="N43" dT="2023-12-01T02:24:54.28" personId="{39E0A7DA-F189-434E-A812-058B04DAA462}" id="{E80D6AD4-BE5C-4661-8E4B-0337E2C4F46F}">
    <text>Sales Professional/Regional Representative</text>
  </threadedComment>
  <threadedComment ref="R43" dT="2023-12-01T02:24:54.28" personId="{39E0A7DA-F189-434E-A812-058B04DAA462}" id="{5015F2C1-715B-4389-A3E0-FD21516B61E6}">
    <text>Sales Professional/Regional Representative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70"/>
  <sheetViews>
    <sheetView topLeftCell="A3" zoomScale="110" zoomScaleNormal="110" workbookViewId="0">
      <selection activeCell="M15" sqref="M15"/>
    </sheetView>
  </sheetViews>
  <sheetFormatPr defaultColWidth="9.140625" defaultRowHeight="12.75" x14ac:dyDescent="0.2"/>
  <cols>
    <col min="1" max="1" width="5.7109375" style="7" customWidth="1"/>
    <col min="2" max="2" width="33.5703125" style="7" bestFit="1" customWidth="1"/>
    <col min="3" max="3" width="12.28515625" style="5" bestFit="1" customWidth="1"/>
    <col min="4" max="4" width="16" style="5" customWidth="1"/>
    <col min="5" max="9" width="15.28515625" style="5" customWidth="1"/>
    <col min="10" max="16384" width="9.140625" style="5"/>
  </cols>
  <sheetData>
    <row r="1" spans="1:9" ht="15.75" x14ac:dyDescent="0.25">
      <c r="A1" s="2" t="s">
        <v>0</v>
      </c>
      <c r="B1" s="3"/>
      <c r="C1" s="4"/>
      <c r="G1" s="6"/>
    </row>
    <row r="2" spans="1:9" x14ac:dyDescent="0.2">
      <c r="A2" s="7" t="s">
        <v>1</v>
      </c>
    </row>
    <row r="3" spans="1:9" s="7" customFormat="1" x14ac:dyDescent="0.2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Forecast'!B37</f>
        <v>2780</v>
      </c>
      <c r="F6" s="160">
        <f>'Sales Forecast'!C37</f>
        <v>4170</v>
      </c>
      <c r="G6" s="160">
        <f>'Sales Forecast'!D37</f>
        <v>5560</v>
      </c>
      <c r="H6" s="160">
        <f>'Sales Forecast'!E37</f>
        <v>5560</v>
      </c>
      <c r="I6" s="160">
        <f>'Sales Forecast'!F37</f>
        <v>5560</v>
      </c>
    </row>
    <row r="7" spans="1:9" x14ac:dyDescent="0.2">
      <c r="A7" s="13"/>
      <c r="B7" s="14" t="s">
        <v>5</v>
      </c>
      <c r="C7" s="30"/>
      <c r="D7" s="15"/>
      <c r="E7" s="16">
        <f>Computations!B64</f>
        <v>16421094.75</v>
      </c>
      <c r="F7" s="16">
        <f>Computations!C64</f>
        <v>24448350.25</v>
      </c>
      <c r="G7" s="16">
        <f>Computations!D64</f>
        <v>32944434.550000001</v>
      </c>
      <c r="H7" s="16">
        <f>Computations!E64</f>
        <v>33006202.125</v>
      </c>
      <c r="I7" s="16">
        <f>Computations!F64</f>
        <v>33067969.699999999</v>
      </c>
    </row>
    <row r="8" spans="1:9" x14ac:dyDescent="0.2">
      <c r="A8" s="13"/>
      <c r="B8" s="14" t="s">
        <v>6</v>
      </c>
      <c r="C8" s="30"/>
      <c r="D8" s="15"/>
      <c r="E8" s="16" cm="1">
        <f t="array" ref="E8">FixedCosts_Total</f>
        <v>4626448.66</v>
      </c>
      <c r="F8" s="16" cm="1">
        <f t="array" ref="F8">FixedCosts_Total</f>
        <v>4626448.66</v>
      </c>
      <c r="G8" s="16">
        <f>Computations!D20</f>
        <v>4405755</v>
      </c>
      <c r="H8" s="16">
        <f>Computations!D20</f>
        <v>4405755</v>
      </c>
      <c r="I8" s="16">
        <f>Computations!D20</f>
        <v>4405755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 cm="1">
        <f t="array" ref="E10:E12">'Sales Forecast'!$B$3:$B$5</f>
        <v>450</v>
      </c>
      <c r="F10" s="16" cm="1">
        <f t="array" ref="F10:F12">'Sales Forecast'!$B$3:$B$5</f>
        <v>450</v>
      </c>
      <c r="G10" s="16" cm="1">
        <f t="array" ref="G10:G12">'Sales Forecast'!$B$3:$B$5</f>
        <v>450</v>
      </c>
      <c r="H10" s="16" cm="1">
        <f t="array" ref="H10:H12">'Sales Forecast'!$B$3:$B$5</f>
        <v>450</v>
      </c>
      <c r="I10" s="16" cm="1">
        <f t="array" ref="I10:I12">'Sales Forecast'!$B$3:$B$5</f>
        <v>450</v>
      </c>
    </row>
    <row r="11" spans="1:9" x14ac:dyDescent="0.2">
      <c r="A11" s="13"/>
      <c r="B11" s="17" t="s">
        <v>9</v>
      </c>
      <c r="C11" s="98"/>
      <c r="D11" s="18"/>
      <c r="E11" s="16">
        <v>850</v>
      </c>
      <c r="F11" s="16">
        <v>850</v>
      </c>
      <c r="G11" s="16">
        <v>850</v>
      </c>
      <c r="H11" s="16">
        <v>850</v>
      </c>
      <c r="I11" s="16">
        <v>850</v>
      </c>
    </row>
    <row r="12" spans="1:9" x14ac:dyDescent="0.2">
      <c r="A12" s="13"/>
      <c r="B12" s="17" t="s">
        <v>10</v>
      </c>
      <c r="C12" s="98"/>
      <c r="D12" s="18"/>
      <c r="E12" s="16">
        <v>900</v>
      </c>
      <c r="F12" s="16">
        <v>900</v>
      </c>
      <c r="G12" s="16">
        <v>900</v>
      </c>
      <c r="H12" s="16">
        <v>900</v>
      </c>
      <c r="I12" s="16">
        <v>900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135">
        <v>0.2</v>
      </c>
      <c r="D14" s="15"/>
      <c r="E14" s="96">
        <f>C14</f>
        <v>0.2</v>
      </c>
      <c r="F14" s="96">
        <f>C14</f>
        <v>0.2</v>
      </c>
      <c r="G14" s="96">
        <f>C14</f>
        <v>0.2</v>
      </c>
      <c r="H14" s="96">
        <f>C14</f>
        <v>0.2</v>
      </c>
      <c r="I14" s="96">
        <f>C14</f>
        <v>0.2</v>
      </c>
    </row>
    <row r="15" spans="1:9" x14ac:dyDescent="0.2">
      <c r="A15" s="13"/>
      <c r="B15" s="14" t="s">
        <v>13</v>
      </c>
      <c r="C15" s="15">
        <f>Computations!B20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18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18" x14ac:dyDescent="0.2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20" spans="1:18" x14ac:dyDescent="0.2">
      <c r="A20" s="7" t="s">
        <v>352</v>
      </c>
    </row>
    <row r="21" spans="1:18" x14ac:dyDescent="0.2">
      <c r="B21" s="7" t="s">
        <v>17</v>
      </c>
      <c r="C21" s="5">
        <f>C17</f>
        <v>21332999.739999998</v>
      </c>
    </row>
    <row r="22" spans="1:18" s="7" customFormat="1" x14ac:dyDescent="0.2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  <c r="N22" s="5"/>
      <c r="O22" s="5"/>
      <c r="P22" s="5"/>
      <c r="Q22" s="5"/>
      <c r="R22" s="5"/>
    </row>
    <row r="23" spans="1:18" x14ac:dyDescent="0.2">
      <c r="B23" s="26" t="s">
        <v>353</v>
      </c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18" x14ac:dyDescent="0.2">
      <c r="B24" s="26" t="s">
        <v>356</v>
      </c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18" x14ac:dyDescent="0.2">
      <c r="B25" s="184" t="s">
        <v>19</v>
      </c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7" spans="1:18" x14ac:dyDescent="0.2">
      <c r="A27" s="7" t="s">
        <v>20</v>
      </c>
    </row>
    <row r="28" spans="1:18" x14ac:dyDescent="0.2">
      <c r="B28" s="7" t="s">
        <v>21</v>
      </c>
      <c r="C28" s="123">
        <f>C18</f>
        <v>0</v>
      </c>
      <c r="D28" s="5">
        <f>+C17*$C$28</f>
        <v>0</v>
      </c>
      <c r="N28" s="7"/>
      <c r="O28" s="7"/>
      <c r="P28" s="7"/>
      <c r="Q28" s="7"/>
      <c r="R28" s="7"/>
    </row>
    <row r="29" spans="1:18" x14ac:dyDescent="0.2">
      <c r="B29" s="7" t="s">
        <v>312</v>
      </c>
      <c r="D29" s="28">
        <f>I25</f>
        <v>0</v>
      </c>
    </row>
    <row r="30" spans="1:18" x14ac:dyDescent="0.2">
      <c r="B30" s="7" t="s">
        <v>22</v>
      </c>
      <c r="D30" s="5">
        <f>+D28-D29</f>
        <v>0</v>
      </c>
    </row>
    <row r="31" spans="1:18" x14ac:dyDescent="0.2">
      <c r="B31" s="7" t="s">
        <v>23</v>
      </c>
      <c r="D31" s="28">
        <f>+D30*C13</f>
        <v>0</v>
      </c>
    </row>
    <row r="32" spans="1:18" x14ac:dyDescent="0.2">
      <c r="B32" s="7" t="s">
        <v>24</v>
      </c>
      <c r="D32" s="5">
        <f>+D28-D31</f>
        <v>0</v>
      </c>
    </row>
    <row r="34" spans="1:9" x14ac:dyDescent="0.2">
      <c r="A34" s="7" t="s">
        <v>25</v>
      </c>
    </row>
    <row r="35" spans="1:9" s="7" customFormat="1" x14ac:dyDescent="0.2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B36" s="7" t="s">
        <v>26</v>
      </c>
      <c r="D36" s="5">
        <f>C15</f>
        <v>3490468.3333333335</v>
      </c>
      <c r="E36" s="5">
        <f>$C$16*E44</f>
        <v>3978180</v>
      </c>
      <c r="F36" s="5">
        <f t="shared" ref="F36:H36" si="2">$C$16*F44</f>
        <v>5967270</v>
      </c>
      <c r="G36" s="5">
        <f t="shared" si="2"/>
        <v>7956360</v>
      </c>
      <c r="H36" s="5">
        <f t="shared" si="2"/>
        <v>7956360</v>
      </c>
      <c r="I36" s="5">
        <f>$C$16*I44</f>
        <v>7956360</v>
      </c>
    </row>
    <row r="37" spans="1:9" x14ac:dyDescent="0.2">
      <c r="B37" s="7" t="s">
        <v>27</v>
      </c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B38" s="7" t="s">
        <v>28</v>
      </c>
      <c r="D38" s="5">
        <f>0-D36</f>
        <v>-3490468.3333333335</v>
      </c>
      <c r="E38" s="5">
        <f>D36-E36</f>
        <v>-487711.66666666651</v>
      </c>
      <c r="F38" s="5">
        <f t="shared" ref="F38" si="3">E36-F36</f>
        <v>-1989090</v>
      </c>
      <c r="G38" s="5">
        <f>F36-G36</f>
        <v>-1989090</v>
      </c>
      <c r="H38" s="5">
        <f>G36-H36</f>
        <v>0</v>
      </c>
      <c r="I38" s="5">
        <f>H36-I36</f>
        <v>0</v>
      </c>
    </row>
    <row r="39" spans="1:9" x14ac:dyDescent="0.2">
      <c r="B39" s="7" t="s">
        <v>29</v>
      </c>
      <c r="D39" s="29"/>
      <c r="E39" s="29"/>
      <c r="F39" s="29"/>
      <c r="G39" s="29"/>
      <c r="H39" s="29"/>
      <c r="I39" s="29">
        <f>I36</f>
        <v>7956360</v>
      </c>
    </row>
    <row r="40" spans="1:9" x14ac:dyDescent="0.2">
      <c r="B40" s="7" t="s">
        <v>30</v>
      </c>
      <c r="D40" s="5">
        <f>D38+D39</f>
        <v>-3490468.3333333335</v>
      </c>
      <c r="E40" s="5">
        <f>E38+E39</f>
        <v>-487711.66666666651</v>
      </c>
      <c r="F40" s="5">
        <f t="shared" ref="F40:I40" si="4">F38+F39</f>
        <v>-1989090</v>
      </c>
      <c r="G40" s="5">
        <f t="shared" si="4"/>
        <v>-1989090</v>
      </c>
      <c r="H40" s="5">
        <f>H38+H39</f>
        <v>0</v>
      </c>
      <c r="I40" s="5">
        <f t="shared" si="4"/>
        <v>7956360</v>
      </c>
    </row>
    <row r="42" spans="1:9" x14ac:dyDescent="0.2">
      <c r="A42" s="7" t="s">
        <v>31</v>
      </c>
    </row>
    <row r="43" spans="1:9" s="7" customFormat="1" x14ac:dyDescent="0.2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B44" s="7" t="s">
        <v>32</v>
      </c>
      <c r="E44" s="161">
        <f>'Sales Forecast'!B40</f>
        <v>26521200</v>
      </c>
      <c r="F44" s="161">
        <f>'Sales Forecast'!C40</f>
        <v>39781800</v>
      </c>
      <c r="G44" s="161">
        <f>'Sales Forecast'!D40</f>
        <v>53042400</v>
      </c>
      <c r="H44" s="161">
        <f>'Sales Forecast'!E40</f>
        <v>53042400</v>
      </c>
      <c r="I44" s="161">
        <f>'Sales Forecast'!F40</f>
        <v>53042400</v>
      </c>
    </row>
    <row r="45" spans="1:9" x14ac:dyDescent="0.2">
      <c r="B45" s="7" t="s">
        <v>33</v>
      </c>
      <c r="E45" s="5">
        <f>E7</f>
        <v>16421094.75</v>
      </c>
      <c r="F45" s="5">
        <f>F7</f>
        <v>24448350.25</v>
      </c>
      <c r="G45" s="5">
        <f>G7</f>
        <v>32944434.550000001</v>
      </c>
      <c r="H45" s="5">
        <f>H7</f>
        <v>33006202.125</v>
      </c>
      <c r="I45" s="5">
        <f>I7</f>
        <v>33067969.699999999</v>
      </c>
    </row>
    <row r="46" spans="1:9" x14ac:dyDescent="0.2">
      <c r="B46" s="7" t="s">
        <v>34</v>
      </c>
      <c r="E46" s="138" cm="1">
        <f t="array" ref="E46">FixedCosts_Total</f>
        <v>4626448.66</v>
      </c>
      <c r="F46" s="138" cm="1">
        <f t="array" ref="F46">FixedCosts_Total</f>
        <v>4626448.66</v>
      </c>
      <c r="G46" s="138" cm="1">
        <f t="array" ref="G46">FixedCosts_Total</f>
        <v>4626448.66</v>
      </c>
      <c r="H46" s="138" cm="1">
        <f t="array" ref="H46">FixedCosts_Total</f>
        <v>4626448.66</v>
      </c>
      <c r="I46" s="138" cm="1">
        <f t="array" ref="I46">FixedCosts_Total</f>
        <v>4626448.66</v>
      </c>
    </row>
    <row r="47" spans="1:9" x14ac:dyDescent="0.2">
      <c r="B47" s="7" t="s">
        <v>18</v>
      </c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B48" s="31" t="s">
        <v>35</v>
      </c>
      <c r="E48" s="32">
        <f t="shared" ref="E48:I48" si="5">+E44-E45-E46-E47</f>
        <v>1207056.642</v>
      </c>
      <c r="F48" s="32">
        <f t="shared" si="5"/>
        <v>6440401.142</v>
      </c>
      <c r="G48" s="32">
        <f t="shared" si="5"/>
        <v>11204916.842</v>
      </c>
      <c r="H48" s="32">
        <f t="shared" si="5"/>
        <v>11143149.267000001</v>
      </c>
      <c r="I48" s="32">
        <f t="shared" si="5"/>
        <v>11081381.692000002</v>
      </c>
    </row>
    <row r="49" spans="1:9" x14ac:dyDescent="0.2">
      <c r="B49" s="7" t="s">
        <v>36</v>
      </c>
      <c r="E49" s="29">
        <f>E48*$C$13</f>
        <v>422469.8247</v>
      </c>
      <c r="F49" s="29">
        <f t="shared" ref="F49:I49" si="6">F48*$C$13</f>
        <v>2254140.3997</v>
      </c>
      <c r="G49" s="29">
        <f t="shared" si="6"/>
        <v>3921720.8946999996</v>
      </c>
      <c r="H49" s="29">
        <f t="shared" si="6"/>
        <v>3900102.24345</v>
      </c>
      <c r="I49" s="29">
        <f t="shared" si="6"/>
        <v>3878483.5922000003</v>
      </c>
    </row>
    <row r="50" spans="1:9" x14ac:dyDescent="0.2">
      <c r="B50" s="7" t="s">
        <v>37</v>
      </c>
      <c r="E50" s="5">
        <f>E48-E49</f>
        <v>784586.8173</v>
      </c>
      <c r="F50" s="5">
        <f t="shared" ref="F50:I50" si="7">F48-F49</f>
        <v>4186260.7423</v>
      </c>
      <c r="G50" s="5">
        <f t="shared" si="7"/>
        <v>7283195.9473000001</v>
      </c>
      <c r="H50" s="5">
        <f t="shared" si="7"/>
        <v>7243047.023550001</v>
      </c>
      <c r="I50" s="5">
        <f t="shared" si="7"/>
        <v>7202898.0998000018</v>
      </c>
    </row>
    <row r="52" spans="1:9" x14ac:dyDescent="0.2">
      <c r="A52" s="7" t="s">
        <v>38</v>
      </c>
    </row>
    <row r="53" spans="1:9" s="7" customFormat="1" x14ac:dyDescent="0.2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B54" s="31" t="s">
        <v>35</v>
      </c>
      <c r="E54" s="32">
        <f>E48</f>
        <v>1207056.642</v>
      </c>
      <c r="F54" s="32">
        <f t="shared" ref="F54:I54" si="8">F48</f>
        <v>6440401.142</v>
      </c>
      <c r="G54" s="32">
        <f t="shared" si="8"/>
        <v>11204916.842</v>
      </c>
      <c r="H54" s="32">
        <f t="shared" si="8"/>
        <v>11143149.267000001</v>
      </c>
      <c r="I54" s="32">
        <f t="shared" si="8"/>
        <v>11081381.692000002</v>
      </c>
    </row>
    <row r="55" spans="1:9" x14ac:dyDescent="0.2">
      <c r="B55" s="7" t="s">
        <v>18</v>
      </c>
      <c r="E55" s="5">
        <f>E47</f>
        <v>4266599.9479999999</v>
      </c>
      <c r="F55" s="5">
        <f t="shared" ref="F55:I55" si="9">F47</f>
        <v>4266599.9479999999</v>
      </c>
      <c r="G55" s="5">
        <f t="shared" si="9"/>
        <v>4266599.9479999999</v>
      </c>
      <c r="H55" s="5">
        <f t="shared" si="9"/>
        <v>4266599.9479999999</v>
      </c>
      <c r="I55" s="5">
        <f t="shared" si="9"/>
        <v>4266599.9479999999</v>
      </c>
    </row>
    <row r="56" spans="1:9" x14ac:dyDescent="0.2">
      <c r="B56" s="7" t="s">
        <v>36</v>
      </c>
      <c r="E56" s="29">
        <f>E49</f>
        <v>422469.8247</v>
      </c>
      <c r="F56" s="29">
        <f t="shared" ref="F56:I56" si="10">F49</f>
        <v>2254140.3997</v>
      </c>
      <c r="G56" s="29">
        <f t="shared" si="10"/>
        <v>3921720.8946999996</v>
      </c>
      <c r="H56" s="29">
        <f t="shared" si="10"/>
        <v>3900102.24345</v>
      </c>
      <c r="I56" s="29">
        <f t="shared" si="10"/>
        <v>3878483.5922000003</v>
      </c>
    </row>
    <row r="57" spans="1:9" x14ac:dyDescent="0.2">
      <c r="B57" s="7" t="s">
        <v>38</v>
      </c>
      <c r="E57" s="5">
        <f>E54+E55-E56</f>
        <v>5051186.7653000001</v>
      </c>
      <c r="F57" s="5">
        <f t="shared" ref="F57:I57" si="11">F54+F55-F56</f>
        <v>8452860.690299999</v>
      </c>
      <c r="G57" s="5">
        <f t="shared" si="11"/>
        <v>11549795.895299999</v>
      </c>
      <c r="H57" s="5">
        <f t="shared" si="11"/>
        <v>11509646.971549999</v>
      </c>
      <c r="I57" s="5">
        <f t="shared" si="11"/>
        <v>11469498.047800001</v>
      </c>
    </row>
    <row r="59" spans="1:9" ht="13.5" customHeight="1" x14ac:dyDescent="0.2">
      <c r="A59" s="7" t="s">
        <v>39</v>
      </c>
    </row>
    <row r="60" spans="1:9" s="7" customFormat="1" x14ac:dyDescent="0.2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B61" s="7" t="s">
        <v>38</v>
      </c>
      <c r="E61" s="5">
        <f>E57</f>
        <v>5051186.7653000001</v>
      </c>
      <c r="F61" s="5">
        <f t="shared" ref="F61:I61" si="12">F57</f>
        <v>8452860.690299999</v>
      </c>
      <c r="G61" s="5">
        <f t="shared" si="12"/>
        <v>11549795.895299999</v>
      </c>
      <c r="H61" s="5">
        <f t="shared" si="12"/>
        <v>11509646.971549999</v>
      </c>
      <c r="I61" s="5">
        <f t="shared" si="12"/>
        <v>11469498.047800001</v>
      </c>
    </row>
    <row r="62" spans="1:9" ht="15" x14ac:dyDescent="0.25">
      <c r="B62" s="7" t="s">
        <v>28</v>
      </c>
      <c r="D62" s="5">
        <f>D40</f>
        <v>-3490468.3333333335</v>
      </c>
      <c r="E62" s="5">
        <f>E40</f>
        <v>-487711.66666666651</v>
      </c>
      <c r="F62" s="5">
        <f t="shared" ref="F62:H62" si="13">F40</f>
        <v>-1989090</v>
      </c>
      <c r="G62" s="5">
        <f t="shared" si="13"/>
        <v>-1989090</v>
      </c>
      <c r="H62" s="5">
        <f t="shared" si="13"/>
        <v>0</v>
      </c>
      <c r="I62" s="5">
        <f>I40</f>
        <v>7956360</v>
      </c>
    </row>
    <row r="63" spans="1:9" x14ac:dyDescent="0.2">
      <c r="B63" s="7" t="s">
        <v>40</v>
      </c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B64" s="7" t="s">
        <v>41</v>
      </c>
      <c r="D64" s="5">
        <f>SUM(D61:D63)</f>
        <v>-24784468.333333332</v>
      </c>
      <c r="E64" s="5">
        <f t="shared" ref="E64:I64" si="14">SUM(E61:E63)</f>
        <v>4563475.098633334</v>
      </c>
      <c r="F64" s="5">
        <f t="shared" si="14"/>
        <v>6463770.690299999</v>
      </c>
      <c r="G64" s="5">
        <f t="shared" si="14"/>
        <v>9560705.895299999</v>
      </c>
      <c r="H64" s="5">
        <f t="shared" si="14"/>
        <v>11509646.971549999</v>
      </c>
      <c r="I64" s="5">
        <f t="shared" si="14"/>
        <v>19425858.047800001</v>
      </c>
    </row>
    <row r="66" spans="2:9" x14ac:dyDescent="0.2">
      <c r="B66" s="7" t="s">
        <v>42</v>
      </c>
      <c r="D66" s="5">
        <f t="shared" ref="D66:I66" si="15">D64/(1+$C14)^D60</f>
        <v>-24784468.333333332</v>
      </c>
      <c r="E66" s="5">
        <f>E64/(1+$C14)^E60</f>
        <v>3802895.9155277787</v>
      </c>
      <c r="F66" s="5">
        <f t="shared" si="15"/>
        <v>4488729.6460416662</v>
      </c>
      <c r="G66" s="5">
        <f t="shared" si="15"/>
        <v>5532815.9116319437</v>
      </c>
      <c r="H66" s="5">
        <f t="shared" si="15"/>
        <v>5550562.7756317509</v>
      </c>
      <c r="I66" s="5">
        <f t="shared" si="15"/>
        <v>7806816.666586292</v>
      </c>
    </row>
    <row r="69" spans="2:9" x14ac:dyDescent="0.2">
      <c r="B69" s="33" t="s">
        <v>43</v>
      </c>
      <c r="C69" s="34"/>
      <c r="D69" s="183">
        <f>SUM(D66:I66)</f>
        <v>2397352.5820860993</v>
      </c>
      <c r="E69" s="35"/>
    </row>
    <row r="70" spans="2:9" x14ac:dyDescent="0.2">
      <c r="B70" s="36" t="s">
        <v>44</v>
      </c>
      <c r="C70" s="23"/>
      <c r="D70" s="104">
        <f>IRR(D64:I64)</f>
        <v>0.23398529538883772</v>
      </c>
      <c r="E70" s="35"/>
    </row>
  </sheetData>
  <conditionalFormatting sqref="D69">
    <cfRule type="cellIs" dxfId="6" priority="1" operator="lessThan">
      <formula>0</formula>
    </cfRule>
  </conditionalFormatting>
  <printOptions horizontalCentered="1" gridLines="1"/>
  <pageMargins left="0.25" right="0.25" top="0.75" bottom="0.75" header="0.3" footer="0.3"/>
  <pageSetup scale="71" fitToHeight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F438-1E09-4853-B1A3-68F609E550D0}">
  <sheetPr codeName="Sheet2"/>
  <dimension ref="A1:R70"/>
  <sheetViews>
    <sheetView zoomScale="110" zoomScaleNormal="110" workbookViewId="0">
      <selection activeCell="C18" sqref="C18"/>
    </sheetView>
  </sheetViews>
  <sheetFormatPr defaultColWidth="9.140625" defaultRowHeight="12.75" x14ac:dyDescent="0.2"/>
  <cols>
    <col min="1" max="1" width="5.7109375" style="7" customWidth="1"/>
    <col min="2" max="2" width="33.5703125" style="7" bestFit="1" customWidth="1"/>
    <col min="3" max="3" width="12.28515625" style="5" bestFit="1" customWidth="1"/>
    <col min="4" max="4" width="16" style="5" customWidth="1"/>
    <col min="5" max="9" width="15.28515625" style="5" customWidth="1"/>
    <col min="10" max="16384" width="9.140625" style="5"/>
  </cols>
  <sheetData>
    <row r="1" spans="1:9" ht="15.75" x14ac:dyDescent="0.25">
      <c r="A1" s="2" t="s">
        <v>0</v>
      </c>
      <c r="B1" s="3"/>
      <c r="C1" s="4"/>
      <c r="G1" s="6"/>
    </row>
    <row r="2" spans="1:9" ht="13.5" thickBot="1" x14ac:dyDescent="0.25">
      <c r="A2" s="7" t="s">
        <v>1</v>
      </c>
    </row>
    <row r="3" spans="1:9" s="7" customFormat="1" ht="13.5" thickBot="1" x14ac:dyDescent="0.25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Forecast'!B37</f>
        <v>2780</v>
      </c>
      <c r="F6" s="160">
        <f>'Sales Forecast'!C37</f>
        <v>4170</v>
      </c>
      <c r="G6" s="160">
        <f>'Sales Forecast'!D37</f>
        <v>5560</v>
      </c>
      <c r="H6" s="160">
        <f>'Sales Forecast'!E37</f>
        <v>5560</v>
      </c>
      <c r="I6" s="160">
        <f>'Sales Forecast'!F37</f>
        <v>5560</v>
      </c>
    </row>
    <row r="7" spans="1:9" x14ac:dyDescent="0.2">
      <c r="A7" s="13"/>
      <c r="B7" s="14" t="s">
        <v>5</v>
      </c>
      <c r="C7" s="30"/>
      <c r="D7" s="15"/>
      <c r="E7" s="16">
        <f>Computations!B64</f>
        <v>16421094.75</v>
      </c>
      <c r="F7" s="16">
        <f>Computations!C64</f>
        <v>24448350.25</v>
      </c>
      <c r="G7" s="16">
        <f>Computations!D64</f>
        <v>32944434.550000001</v>
      </c>
      <c r="H7" s="16">
        <f>Computations!E64</f>
        <v>33006202.125</v>
      </c>
      <c r="I7" s="16">
        <f>Computations!F64</f>
        <v>33067969.699999999</v>
      </c>
    </row>
    <row r="8" spans="1:9" x14ac:dyDescent="0.2">
      <c r="A8" s="13"/>
      <c r="B8" s="14" t="s">
        <v>6</v>
      </c>
      <c r="C8" s="30"/>
      <c r="D8" s="15"/>
      <c r="E8" s="16" cm="1">
        <f t="array" ref="E8">FixedCosts_Total</f>
        <v>4626448.66</v>
      </c>
      <c r="F8" s="16" cm="1">
        <f t="array" ref="F8">FixedCosts_Total</f>
        <v>4626448.66</v>
      </c>
      <c r="G8" s="16">
        <f>Computations!D20</f>
        <v>4405755</v>
      </c>
      <c r="H8" s="16">
        <f>Computations!D20</f>
        <v>4405755</v>
      </c>
      <c r="I8" s="16">
        <f>Computations!D20</f>
        <v>4405755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 cm="1">
        <f t="array" ref="E10:E12">'Sales Forecast'!$B$3:$B$5</f>
        <v>450</v>
      </c>
      <c r="F10" s="16" cm="1">
        <f t="array" ref="F10:F12">'Sales Forecast'!$B$3:$B$5</f>
        <v>450</v>
      </c>
      <c r="G10" s="16" cm="1">
        <f t="array" ref="G10:G12">'Sales Forecast'!$B$3:$B$5</f>
        <v>450</v>
      </c>
      <c r="H10" s="16" cm="1">
        <f t="array" ref="H10:H12">'Sales Forecast'!$B$3:$B$5</f>
        <v>450</v>
      </c>
      <c r="I10" s="16" cm="1">
        <f t="array" ref="I10:I12">'Sales Forecast'!$B$3:$B$5</f>
        <v>450</v>
      </c>
    </row>
    <row r="11" spans="1:9" x14ac:dyDescent="0.2">
      <c r="A11" s="13"/>
      <c r="B11" s="17" t="s">
        <v>9</v>
      </c>
      <c r="C11" s="98"/>
      <c r="D11" s="18"/>
      <c r="E11" s="16">
        <v>850</v>
      </c>
      <c r="F11" s="16">
        <v>850</v>
      </c>
      <c r="G11" s="16">
        <v>850</v>
      </c>
      <c r="H11" s="16">
        <v>850</v>
      </c>
      <c r="I11" s="16">
        <v>850</v>
      </c>
    </row>
    <row r="12" spans="1:9" x14ac:dyDescent="0.2">
      <c r="A12" s="13"/>
      <c r="B12" s="17" t="s">
        <v>10</v>
      </c>
      <c r="C12" s="98"/>
      <c r="D12" s="18"/>
      <c r="E12" s="16">
        <v>900</v>
      </c>
      <c r="F12" s="16">
        <v>900</v>
      </c>
      <c r="G12" s="16">
        <v>900</v>
      </c>
      <c r="H12" s="16">
        <v>900</v>
      </c>
      <c r="I12" s="16">
        <v>900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233">
        <v>0.23400000000000001</v>
      </c>
      <c r="D14" s="15"/>
      <c r="E14" s="234">
        <f>C14</f>
        <v>0.23400000000000001</v>
      </c>
      <c r="F14" s="234">
        <f>C14</f>
        <v>0.23400000000000001</v>
      </c>
      <c r="G14" s="234">
        <f>C14</f>
        <v>0.23400000000000001</v>
      </c>
      <c r="H14" s="234">
        <f>C14</f>
        <v>0.23400000000000001</v>
      </c>
      <c r="I14" s="234">
        <f>C14</f>
        <v>0.23400000000000001</v>
      </c>
    </row>
    <row r="15" spans="1:9" x14ac:dyDescent="0.2">
      <c r="A15" s="13"/>
      <c r="B15" s="14" t="s">
        <v>13</v>
      </c>
      <c r="C15" s="15">
        <f>Computations!B20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18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18" ht="13.5" thickBot="1" x14ac:dyDescent="0.25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20" spans="1:18" x14ac:dyDescent="0.2">
      <c r="A20" s="7" t="s">
        <v>352</v>
      </c>
    </row>
    <row r="21" spans="1:18" x14ac:dyDescent="0.2">
      <c r="B21" s="7" t="s">
        <v>17</v>
      </c>
      <c r="C21" s="5">
        <f>C17</f>
        <v>21332999.739999998</v>
      </c>
    </row>
    <row r="22" spans="1:18" s="7" customFormat="1" ht="13.5" thickBot="1" x14ac:dyDescent="0.25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  <c r="N22" s="5"/>
      <c r="O22" s="5"/>
      <c r="P22" s="5"/>
      <c r="Q22" s="5"/>
      <c r="R22" s="5"/>
    </row>
    <row r="23" spans="1:18" x14ac:dyDescent="0.2">
      <c r="B23" s="26" t="s">
        <v>353</v>
      </c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18" x14ac:dyDescent="0.2">
      <c r="B24" s="26" t="s">
        <v>354</v>
      </c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18" x14ac:dyDescent="0.2">
      <c r="B25" s="184" t="s">
        <v>19</v>
      </c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7" spans="1:18" x14ac:dyDescent="0.2">
      <c r="A27" s="7" t="s">
        <v>20</v>
      </c>
    </row>
    <row r="28" spans="1:18" x14ac:dyDescent="0.2">
      <c r="B28" s="7" t="s">
        <v>21</v>
      </c>
      <c r="C28" s="123">
        <f>C18</f>
        <v>0</v>
      </c>
      <c r="D28" s="5">
        <f>+C17*$C$28</f>
        <v>0</v>
      </c>
      <c r="N28" s="7"/>
      <c r="O28" s="7"/>
      <c r="P28" s="7"/>
      <c r="Q28" s="7"/>
      <c r="R28" s="7"/>
    </row>
    <row r="29" spans="1:18" x14ac:dyDescent="0.2">
      <c r="B29" s="7" t="s">
        <v>312</v>
      </c>
      <c r="D29" s="28">
        <f>I25</f>
        <v>0</v>
      </c>
    </row>
    <row r="30" spans="1:18" x14ac:dyDescent="0.2">
      <c r="B30" s="7" t="s">
        <v>22</v>
      </c>
      <c r="D30" s="5">
        <f>+D28-D29</f>
        <v>0</v>
      </c>
    </row>
    <row r="31" spans="1:18" x14ac:dyDescent="0.2">
      <c r="B31" s="7" t="s">
        <v>23</v>
      </c>
      <c r="D31" s="28">
        <f>+D30*C13</f>
        <v>0</v>
      </c>
    </row>
    <row r="32" spans="1:18" x14ac:dyDescent="0.2">
      <c r="B32" s="7" t="s">
        <v>24</v>
      </c>
      <c r="D32" s="5">
        <f>+D28-D31</f>
        <v>0</v>
      </c>
    </row>
    <row r="34" spans="1:9" x14ac:dyDescent="0.2">
      <c r="A34" s="7" t="s">
        <v>25</v>
      </c>
    </row>
    <row r="35" spans="1:9" s="7" customFormat="1" ht="13.5" thickBot="1" x14ac:dyDescent="0.25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B36" s="7" t="s">
        <v>26</v>
      </c>
      <c r="D36" s="5">
        <f>C15</f>
        <v>3490468.3333333335</v>
      </c>
      <c r="E36" s="5">
        <f>$C$16*E44</f>
        <v>3978180</v>
      </c>
      <c r="F36" s="5">
        <f t="shared" ref="F36:H36" si="2">$C$16*F44</f>
        <v>5967270</v>
      </c>
      <c r="G36" s="5">
        <f t="shared" si="2"/>
        <v>7956360</v>
      </c>
      <c r="H36" s="5">
        <f t="shared" si="2"/>
        <v>7956360</v>
      </c>
      <c r="I36" s="5">
        <f>$C$16*I44</f>
        <v>7956360</v>
      </c>
    </row>
    <row r="37" spans="1:9" x14ac:dyDescent="0.2">
      <c r="B37" s="7" t="s">
        <v>27</v>
      </c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B38" s="7" t="s">
        <v>28</v>
      </c>
      <c r="D38" s="5">
        <f>0-D36</f>
        <v>-3490468.3333333335</v>
      </c>
      <c r="E38" s="5">
        <f>D36-E36</f>
        <v>-487711.66666666651</v>
      </c>
      <c r="F38" s="5">
        <f t="shared" ref="F38" si="3">E36-F36</f>
        <v>-1989090</v>
      </c>
      <c r="G38" s="5">
        <f>F36-G36</f>
        <v>-1989090</v>
      </c>
      <c r="H38" s="5">
        <f>G36-H36</f>
        <v>0</v>
      </c>
      <c r="I38" s="5">
        <f>H36-I36</f>
        <v>0</v>
      </c>
    </row>
    <row r="39" spans="1:9" ht="13.5" thickBot="1" x14ac:dyDescent="0.25">
      <c r="B39" s="7" t="s">
        <v>29</v>
      </c>
      <c r="D39" s="29"/>
      <c r="E39" s="29"/>
      <c r="F39" s="29"/>
      <c r="G39" s="29"/>
      <c r="H39" s="29"/>
      <c r="I39" s="29">
        <f>I36</f>
        <v>7956360</v>
      </c>
    </row>
    <row r="40" spans="1:9" x14ac:dyDescent="0.2">
      <c r="B40" s="7" t="s">
        <v>30</v>
      </c>
      <c r="D40" s="5">
        <f>D38+D39</f>
        <v>-3490468.3333333335</v>
      </c>
      <c r="E40" s="5">
        <f>E38+E39</f>
        <v>-487711.66666666651</v>
      </c>
      <c r="F40" s="5">
        <f t="shared" ref="F40:I40" si="4">F38+F39</f>
        <v>-1989090</v>
      </c>
      <c r="G40" s="5">
        <f t="shared" si="4"/>
        <v>-1989090</v>
      </c>
      <c r="H40" s="5">
        <f>H38+H39</f>
        <v>0</v>
      </c>
      <c r="I40" s="5">
        <f t="shared" si="4"/>
        <v>7956360</v>
      </c>
    </row>
    <row r="42" spans="1:9" x14ac:dyDescent="0.2">
      <c r="A42" s="7" t="s">
        <v>31</v>
      </c>
    </row>
    <row r="43" spans="1:9" s="7" customFormat="1" ht="13.5" thickBot="1" x14ac:dyDescent="0.25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B44" s="7" t="s">
        <v>32</v>
      </c>
      <c r="E44" s="161">
        <f>'Sales Forecast'!B40</f>
        <v>26521200</v>
      </c>
      <c r="F44" s="161">
        <f>'Sales Forecast'!C40</f>
        <v>39781800</v>
      </c>
      <c r="G44" s="161">
        <f>'Sales Forecast'!D40</f>
        <v>53042400</v>
      </c>
      <c r="H44" s="161">
        <f>'Sales Forecast'!E40</f>
        <v>53042400</v>
      </c>
      <c r="I44" s="161">
        <f>'Sales Forecast'!F40</f>
        <v>53042400</v>
      </c>
    </row>
    <row r="45" spans="1:9" x14ac:dyDescent="0.2">
      <c r="B45" s="7" t="s">
        <v>33</v>
      </c>
      <c r="E45" s="5">
        <f>E7</f>
        <v>16421094.75</v>
      </c>
      <c r="F45" s="5">
        <f t="shared" ref="F45:I45" si="5">F7</f>
        <v>24448350.25</v>
      </c>
      <c r="G45" s="5">
        <f t="shared" si="5"/>
        <v>32944434.550000001</v>
      </c>
      <c r="H45" s="5">
        <f t="shared" si="5"/>
        <v>33006202.125</v>
      </c>
      <c r="I45" s="5">
        <f t="shared" si="5"/>
        <v>33067969.699999999</v>
      </c>
    </row>
    <row r="46" spans="1:9" x14ac:dyDescent="0.2">
      <c r="B46" s="7" t="s">
        <v>34</v>
      </c>
      <c r="E46" s="138" cm="1">
        <f t="array" ref="E46">FixedCosts_Total</f>
        <v>4626448.66</v>
      </c>
      <c r="F46" s="138" cm="1">
        <f t="array" ref="F46">FixedCosts_Total</f>
        <v>4626448.66</v>
      </c>
      <c r="G46" s="138" cm="1">
        <f t="array" ref="G46">FixedCosts_Total</f>
        <v>4626448.66</v>
      </c>
      <c r="H46" s="138" cm="1">
        <f t="array" ref="H46">FixedCosts_Total</f>
        <v>4626448.66</v>
      </c>
      <c r="I46" s="138" cm="1">
        <f t="array" ref="I46">FixedCosts_Total</f>
        <v>4626448.66</v>
      </c>
    </row>
    <row r="47" spans="1:9" ht="13.5" thickBot="1" x14ac:dyDescent="0.25">
      <c r="B47" s="7" t="s">
        <v>18</v>
      </c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B48" s="31" t="s">
        <v>35</v>
      </c>
      <c r="E48" s="32">
        <f t="shared" ref="E48:I48" si="6">+E44-E45-E46-E47</f>
        <v>1207056.642</v>
      </c>
      <c r="F48" s="32">
        <f t="shared" si="6"/>
        <v>6440401.142</v>
      </c>
      <c r="G48" s="32">
        <f t="shared" si="6"/>
        <v>11204916.842</v>
      </c>
      <c r="H48" s="32">
        <f t="shared" si="6"/>
        <v>11143149.267000001</v>
      </c>
      <c r="I48" s="32">
        <f t="shared" si="6"/>
        <v>11081381.692000002</v>
      </c>
    </row>
    <row r="49" spans="1:9" ht="13.5" thickBot="1" x14ac:dyDescent="0.25">
      <c r="B49" s="7" t="s">
        <v>36</v>
      </c>
      <c r="E49" s="29">
        <f>E48*$C$13</f>
        <v>422469.8247</v>
      </c>
      <c r="F49" s="29">
        <f t="shared" ref="F49:I49" si="7">F48*$C$13</f>
        <v>2254140.3997</v>
      </c>
      <c r="G49" s="29">
        <f t="shared" si="7"/>
        <v>3921720.8946999996</v>
      </c>
      <c r="H49" s="29">
        <f t="shared" si="7"/>
        <v>3900102.24345</v>
      </c>
      <c r="I49" s="29">
        <f t="shared" si="7"/>
        <v>3878483.5922000003</v>
      </c>
    </row>
    <row r="50" spans="1:9" x14ac:dyDescent="0.2">
      <c r="B50" s="7" t="s">
        <v>37</v>
      </c>
      <c r="E50" s="5">
        <f>E48-E49</f>
        <v>784586.8173</v>
      </c>
      <c r="F50" s="5">
        <f t="shared" ref="F50:I50" si="8">F48-F49</f>
        <v>4186260.7423</v>
      </c>
      <c r="G50" s="5">
        <f t="shared" si="8"/>
        <v>7283195.9473000001</v>
      </c>
      <c r="H50" s="5">
        <f t="shared" si="8"/>
        <v>7243047.023550001</v>
      </c>
      <c r="I50" s="5">
        <f t="shared" si="8"/>
        <v>7202898.0998000018</v>
      </c>
    </row>
    <row r="52" spans="1:9" x14ac:dyDescent="0.2">
      <c r="A52" s="7" t="s">
        <v>38</v>
      </c>
    </row>
    <row r="53" spans="1:9" s="7" customFormat="1" ht="13.5" thickBot="1" x14ac:dyDescent="0.25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B54" s="31" t="s">
        <v>35</v>
      </c>
      <c r="E54" s="32">
        <f>E48</f>
        <v>1207056.642</v>
      </c>
      <c r="F54" s="32">
        <f t="shared" ref="F54:I54" si="9">F48</f>
        <v>6440401.142</v>
      </c>
      <c r="G54" s="32">
        <f t="shared" si="9"/>
        <v>11204916.842</v>
      </c>
      <c r="H54" s="32">
        <f t="shared" si="9"/>
        <v>11143149.267000001</v>
      </c>
      <c r="I54" s="32">
        <f t="shared" si="9"/>
        <v>11081381.692000002</v>
      </c>
    </row>
    <row r="55" spans="1:9" x14ac:dyDescent="0.2">
      <c r="B55" s="7" t="s">
        <v>18</v>
      </c>
      <c r="E55" s="5">
        <f>E47</f>
        <v>4266599.9479999999</v>
      </c>
      <c r="F55" s="5">
        <f t="shared" ref="F55:I55" si="10">F47</f>
        <v>4266599.9479999999</v>
      </c>
      <c r="G55" s="5">
        <f t="shared" si="10"/>
        <v>4266599.9479999999</v>
      </c>
      <c r="H55" s="5">
        <f t="shared" si="10"/>
        <v>4266599.9479999999</v>
      </c>
      <c r="I55" s="5">
        <f t="shared" si="10"/>
        <v>4266599.9479999999</v>
      </c>
    </row>
    <row r="56" spans="1:9" ht="13.5" thickBot="1" x14ac:dyDescent="0.25">
      <c r="B56" s="7" t="s">
        <v>36</v>
      </c>
      <c r="E56" s="29">
        <f>E49</f>
        <v>422469.8247</v>
      </c>
      <c r="F56" s="29">
        <f t="shared" ref="F56:I56" si="11">F49</f>
        <v>2254140.3997</v>
      </c>
      <c r="G56" s="29">
        <f t="shared" si="11"/>
        <v>3921720.8946999996</v>
      </c>
      <c r="H56" s="29">
        <f t="shared" si="11"/>
        <v>3900102.24345</v>
      </c>
      <c r="I56" s="29">
        <f t="shared" si="11"/>
        <v>3878483.5922000003</v>
      </c>
    </row>
    <row r="57" spans="1:9" x14ac:dyDescent="0.2">
      <c r="B57" s="7" t="s">
        <v>38</v>
      </c>
      <c r="E57" s="5">
        <f>E54+E55-E56</f>
        <v>5051186.7653000001</v>
      </c>
      <c r="F57" s="5">
        <f t="shared" ref="F57:I57" si="12">F54+F55-F56</f>
        <v>8452860.690299999</v>
      </c>
      <c r="G57" s="5">
        <f t="shared" si="12"/>
        <v>11549795.895299999</v>
      </c>
      <c r="H57" s="5">
        <f t="shared" si="12"/>
        <v>11509646.971549999</v>
      </c>
      <c r="I57" s="5">
        <f t="shared" si="12"/>
        <v>11469498.047800001</v>
      </c>
    </row>
    <row r="59" spans="1:9" ht="13.5" customHeight="1" x14ac:dyDescent="0.2">
      <c r="A59" s="7" t="s">
        <v>39</v>
      </c>
    </row>
    <row r="60" spans="1:9" s="7" customFormat="1" ht="13.5" thickBot="1" x14ac:dyDescent="0.25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B61" s="7" t="s">
        <v>38</v>
      </c>
      <c r="E61" s="5">
        <f>E57</f>
        <v>5051186.7653000001</v>
      </c>
      <c r="F61" s="5">
        <f t="shared" ref="F61:I61" si="13">F57</f>
        <v>8452860.690299999</v>
      </c>
      <c r="G61" s="5">
        <f t="shared" si="13"/>
        <v>11549795.895299999</v>
      </c>
      <c r="H61" s="5">
        <f t="shared" si="13"/>
        <v>11509646.971549999</v>
      </c>
      <c r="I61" s="5">
        <f t="shared" si="13"/>
        <v>11469498.047800001</v>
      </c>
    </row>
    <row r="62" spans="1:9" ht="15" x14ac:dyDescent="0.25">
      <c r="B62" s="7" t="s">
        <v>28</v>
      </c>
      <c r="D62" s="5">
        <f>D40</f>
        <v>-3490468.3333333335</v>
      </c>
      <c r="E62" s="5">
        <f t="shared" ref="E62:I62" si="14">E40</f>
        <v>-487711.66666666651</v>
      </c>
      <c r="F62" s="5">
        <f t="shared" si="14"/>
        <v>-1989090</v>
      </c>
      <c r="G62" s="5">
        <f t="shared" si="14"/>
        <v>-1989090</v>
      </c>
      <c r="H62" s="5">
        <f t="shared" si="14"/>
        <v>0</v>
      </c>
      <c r="I62" s="5">
        <f t="shared" si="14"/>
        <v>7956360</v>
      </c>
    </row>
    <row r="63" spans="1:9" ht="13.5" thickBot="1" x14ac:dyDescent="0.25">
      <c r="B63" s="7" t="s">
        <v>40</v>
      </c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B64" s="7" t="s">
        <v>41</v>
      </c>
      <c r="D64" s="5">
        <f>SUM(D61:D63)</f>
        <v>-24784468.333333332</v>
      </c>
      <c r="E64" s="5">
        <f t="shared" ref="E64:I64" si="15">SUM(E61:E63)</f>
        <v>4563475.098633334</v>
      </c>
      <c r="F64" s="5">
        <f t="shared" si="15"/>
        <v>6463770.690299999</v>
      </c>
      <c r="G64" s="5">
        <f t="shared" si="15"/>
        <v>9560705.895299999</v>
      </c>
      <c r="H64" s="5">
        <f t="shared" si="15"/>
        <v>11509646.971549999</v>
      </c>
      <c r="I64" s="5">
        <f t="shared" si="15"/>
        <v>19425858.047800001</v>
      </c>
    </row>
    <row r="66" spans="2:9" x14ac:dyDescent="0.2">
      <c r="B66" s="7" t="s">
        <v>42</v>
      </c>
      <c r="D66" s="5">
        <f>D64/(1+$C14)^D60</f>
        <v>-24784468.333333332</v>
      </c>
      <c r="E66" s="5">
        <f t="shared" ref="E66:I66" si="16">E64/(1+$C14)^E60</f>
        <v>3698115.9632360893</v>
      </c>
      <c r="F66" s="5">
        <f t="shared" si="16"/>
        <v>4244784.253222446</v>
      </c>
      <c r="G66" s="5">
        <f t="shared" si="16"/>
        <v>5087969.2699490059</v>
      </c>
      <c r="H66" s="5">
        <f t="shared" si="16"/>
        <v>4963652.4404978007</v>
      </c>
      <c r="I66" s="5">
        <f t="shared" si="16"/>
        <v>6788978.1726367865</v>
      </c>
    </row>
    <row r="69" spans="2:9" ht="13.5" thickTop="1" x14ac:dyDescent="0.2">
      <c r="B69" s="33" t="s">
        <v>43</v>
      </c>
      <c r="C69" s="34"/>
      <c r="D69" s="183">
        <f>SUM(D66:I66)</f>
        <v>-968.23379120230675</v>
      </c>
      <c r="E69" s="35"/>
    </row>
    <row r="70" spans="2:9" ht="13.5" thickBot="1" x14ac:dyDescent="0.25">
      <c r="B70" s="36" t="s">
        <v>44</v>
      </c>
      <c r="C70" s="23"/>
      <c r="D70" s="104">
        <f>IRR(D64:I64)</f>
        <v>0.23398529538883772</v>
      </c>
      <c r="E70" s="35"/>
    </row>
  </sheetData>
  <conditionalFormatting sqref="D69">
    <cfRule type="cellIs" dxfId="5" priority="1" operator="lessThan">
      <formula>0</formula>
    </cfRule>
  </conditionalFormatting>
  <printOptions horizontalCentered="1" gridLines="1"/>
  <pageMargins left="0.54" right="0.36" top="1" bottom="1" header="0.5" footer="0.5"/>
  <pageSetup scale="87" fitToHeight="2" orientation="portrait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4E30-B326-4779-9296-C4DD63F418F3}">
  <sheetPr codeName="Sheet3"/>
  <dimension ref="A1:I70"/>
  <sheetViews>
    <sheetView topLeftCell="A6" zoomScale="110" zoomScaleNormal="110" workbookViewId="0">
      <selection activeCell="C18" sqref="C18"/>
    </sheetView>
  </sheetViews>
  <sheetFormatPr defaultRowHeight="12.75" x14ac:dyDescent="0.2"/>
  <cols>
    <col min="1" max="1" width="5.7109375" customWidth="1"/>
    <col min="2" max="2" width="35.7109375" bestFit="1" customWidth="1"/>
    <col min="3" max="3" width="12.28515625" bestFit="1" customWidth="1"/>
    <col min="4" max="4" width="13.140625" bestFit="1" customWidth="1"/>
    <col min="5" max="9" width="12.85546875" bestFit="1" customWidth="1"/>
  </cols>
  <sheetData>
    <row r="1" spans="1:9" ht="15.75" x14ac:dyDescent="0.25">
      <c r="A1" s="2" t="s">
        <v>0</v>
      </c>
      <c r="B1" s="3"/>
      <c r="C1" s="4"/>
      <c r="D1" s="5"/>
      <c r="E1" s="5"/>
      <c r="F1" s="5"/>
      <c r="G1" s="6"/>
      <c r="H1" s="5"/>
      <c r="I1" s="5"/>
    </row>
    <row r="2" spans="1:9" ht="13.5" thickBot="1" x14ac:dyDescent="0.25">
      <c r="A2" s="7" t="s">
        <v>1</v>
      </c>
      <c r="B2" s="7"/>
      <c r="C2" s="5"/>
      <c r="D2" s="5"/>
      <c r="E2" s="5"/>
      <c r="F2" s="5"/>
      <c r="G2" s="5"/>
      <c r="H2" s="5"/>
      <c r="I2" s="5"/>
    </row>
    <row r="3" spans="1:9" ht="13.5" thickBot="1" x14ac:dyDescent="0.25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4" spans="1:9" ht="13.5" thickBot="1" x14ac:dyDescent="0.25">
      <c r="A4" s="7"/>
      <c r="B4" s="7"/>
      <c r="C4" s="5"/>
      <c r="D4" s="5"/>
      <c r="E4" s="5"/>
      <c r="F4" s="5"/>
      <c r="G4" s="5"/>
      <c r="H4" s="5"/>
      <c r="I4" s="5"/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Forecast'!N37</f>
        <v>2529.8000000000002</v>
      </c>
      <c r="F6" s="160">
        <f>'Sales Forecast'!O37</f>
        <v>3794.7000000000003</v>
      </c>
      <c r="G6" s="160">
        <f>'Sales Forecast'!P37</f>
        <v>5059.6000000000004</v>
      </c>
      <c r="H6" s="160">
        <f>'Sales Forecast'!Q37</f>
        <v>5059.6000000000004</v>
      </c>
      <c r="I6" s="160">
        <f>'Sales Forecast'!R37</f>
        <v>5059.6000000000004</v>
      </c>
    </row>
    <row r="7" spans="1:9" x14ac:dyDescent="0.2">
      <c r="A7" s="13"/>
      <c r="B7" s="14" t="s">
        <v>5</v>
      </c>
      <c r="C7" s="30"/>
      <c r="D7" s="15"/>
      <c r="E7" s="16">
        <f>Computations!B64*0.91</f>
        <v>14943196.2225</v>
      </c>
      <c r="F7" s="16">
        <f>Computations!C64*0.91</f>
        <v>22247998.727499999</v>
      </c>
      <c r="G7" s="16">
        <f>Computations!D64*0.91</f>
        <v>29979435.440500002</v>
      </c>
      <c r="H7" s="16">
        <f>Computations!E64*0.91</f>
        <v>30035643.93375</v>
      </c>
      <c r="I7" s="16">
        <f>Computations!F64*0.91</f>
        <v>30091852.427000001</v>
      </c>
    </row>
    <row r="8" spans="1:9" x14ac:dyDescent="0.2">
      <c r="A8" s="13"/>
      <c r="B8" s="14" t="s">
        <v>6</v>
      </c>
      <c r="C8" s="30"/>
      <c r="D8" s="15"/>
      <c r="E8" s="16">
        <f>'Capital Budgeting'!E8</f>
        <v>4626448.66</v>
      </c>
      <c r="F8" s="16">
        <f>'Capital Budgeting'!F8</f>
        <v>4626448.66</v>
      </c>
      <c r="G8" s="16">
        <f>'Capital Budgeting'!G8</f>
        <v>4405755</v>
      </c>
      <c r="H8" s="16">
        <f>'Capital Budgeting'!H8</f>
        <v>4405755</v>
      </c>
      <c r="I8" s="16">
        <f>'Capital Budgeting'!I8</f>
        <v>4405755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 cm="1">
        <f t="array" ref="E10:E12">'Sales Forecast'!$B$3:$B$5</f>
        <v>450</v>
      </c>
      <c r="F10" s="16" cm="1">
        <f t="array" ref="F10:F12">'Sales Forecast'!$B$3:$B$5</f>
        <v>450</v>
      </c>
      <c r="G10" s="16" cm="1">
        <f t="array" ref="G10:G12">'Sales Forecast'!$B$3:$B$5</f>
        <v>450</v>
      </c>
      <c r="H10" s="16" cm="1">
        <f t="array" ref="H10:H12">'Sales Forecast'!$B$3:$B$5</f>
        <v>450</v>
      </c>
      <c r="I10" s="16" cm="1">
        <f t="array" ref="I10:I12">'Sales Forecast'!$B$3:$B$5</f>
        <v>450</v>
      </c>
    </row>
    <row r="11" spans="1:9" x14ac:dyDescent="0.2">
      <c r="A11" s="13"/>
      <c r="B11" s="17" t="s">
        <v>9</v>
      </c>
      <c r="C11" s="98"/>
      <c r="D11" s="18"/>
      <c r="E11" s="16">
        <v>850</v>
      </c>
      <c r="F11" s="16">
        <v>850</v>
      </c>
      <c r="G11" s="16">
        <v>850</v>
      </c>
      <c r="H11" s="16">
        <v>850</v>
      </c>
      <c r="I11" s="16">
        <v>850</v>
      </c>
    </row>
    <row r="12" spans="1:9" x14ac:dyDescent="0.2">
      <c r="A12" s="13"/>
      <c r="B12" s="17" t="s">
        <v>10</v>
      </c>
      <c r="C12" s="98"/>
      <c r="D12" s="18"/>
      <c r="E12" s="16">
        <v>900</v>
      </c>
      <c r="F12" s="16">
        <v>900</v>
      </c>
      <c r="G12" s="16">
        <v>900</v>
      </c>
      <c r="H12" s="16">
        <v>900</v>
      </c>
      <c r="I12" s="16">
        <v>900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135">
        <v>0.2</v>
      </c>
      <c r="D14" s="15"/>
      <c r="E14" s="96">
        <f>C14</f>
        <v>0.2</v>
      </c>
      <c r="F14" s="96">
        <f>C14</f>
        <v>0.2</v>
      </c>
      <c r="G14" s="96">
        <f>C14</f>
        <v>0.2</v>
      </c>
      <c r="H14" s="96">
        <f>C14</f>
        <v>0.2</v>
      </c>
      <c r="I14" s="96">
        <f>C14</f>
        <v>0.2</v>
      </c>
    </row>
    <row r="15" spans="1:9" x14ac:dyDescent="0.2">
      <c r="A15" s="13"/>
      <c r="B15" s="14" t="s">
        <v>13</v>
      </c>
      <c r="C15" s="15">
        <f>'Capital Budgeting'!C15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9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9" ht="13.5" thickBot="1" x14ac:dyDescent="0.25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19" spans="1:9" x14ac:dyDescent="0.2">
      <c r="A19" s="7"/>
      <c r="B19" s="7"/>
      <c r="C19" s="5"/>
      <c r="D19" s="5"/>
      <c r="E19" s="5"/>
      <c r="F19" s="5"/>
      <c r="G19" s="5"/>
      <c r="H19" s="5"/>
      <c r="I19" s="5"/>
    </row>
    <row r="20" spans="1:9" x14ac:dyDescent="0.2">
      <c r="A20" s="7" t="s">
        <v>352</v>
      </c>
      <c r="B20" s="7"/>
      <c r="C20" s="5"/>
      <c r="D20" s="5"/>
      <c r="E20" s="5"/>
      <c r="F20" s="5"/>
      <c r="G20" s="5"/>
      <c r="H20" s="5"/>
      <c r="I20" s="5"/>
    </row>
    <row r="21" spans="1:9" x14ac:dyDescent="0.2">
      <c r="A21" s="7"/>
      <c r="B21" s="7" t="s">
        <v>17</v>
      </c>
      <c r="C21" s="5">
        <f>C17</f>
        <v>21332999.739999998</v>
      </c>
      <c r="D21" s="5"/>
      <c r="E21" s="5"/>
      <c r="F21" s="5"/>
      <c r="G21" s="5"/>
      <c r="H21" s="5"/>
      <c r="I21" s="5"/>
    </row>
    <row r="22" spans="1:9" ht="13.5" thickBot="1" x14ac:dyDescent="0.25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</row>
    <row r="23" spans="1:9" x14ac:dyDescent="0.2">
      <c r="A23" s="7"/>
      <c r="B23" s="26" t="s">
        <v>353</v>
      </c>
      <c r="C23" s="5"/>
      <c r="D23" s="5"/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9" x14ac:dyDescent="0.2">
      <c r="A24" s="7"/>
      <c r="B24" s="26" t="s">
        <v>354</v>
      </c>
      <c r="C24" s="5"/>
      <c r="D24" s="5"/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9" x14ac:dyDescent="0.2">
      <c r="A25" s="7"/>
      <c r="B25" s="184" t="s">
        <v>19</v>
      </c>
      <c r="C25" s="5"/>
      <c r="D25" s="5"/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6" spans="1:9" x14ac:dyDescent="0.2">
      <c r="A26" s="7"/>
      <c r="B26" s="7"/>
      <c r="C26" s="5"/>
      <c r="D26" s="5"/>
      <c r="E26" s="5"/>
      <c r="F26" s="5"/>
      <c r="G26" s="5"/>
      <c r="H26" s="5"/>
      <c r="I26" s="5"/>
    </row>
    <row r="27" spans="1:9" x14ac:dyDescent="0.2">
      <c r="A27" s="7" t="s">
        <v>20</v>
      </c>
      <c r="B27" s="7"/>
      <c r="C27" s="5"/>
      <c r="D27" s="5"/>
      <c r="E27" s="5"/>
      <c r="F27" s="5"/>
      <c r="G27" s="5"/>
      <c r="H27" s="5"/>
      <c r="I27" s="5"/>
    </row>
    <row r="28" spans="1:9" x14ac:dyDescent="0.2">
      <c r="A28" s="7"/>
      <c r="B28" s="7" t="s">
        <v>21</v>
      </c>
      <c r="C28" s="123">
        <f>C18</f>
        <v>0</v>
      </c>
      <c r="D28" s="5">
        <f>+C17*$C$28</f>
        <v>0</v>
      </c>
      <c r="E28" s="5"/>
      <c r="F28" s="5"/>
      <c r="G28" s="5"/>
      <c r="H28" s="5"/>
      <c r="I28" s="5"/>
    </row>
    <row r="29" spans="1:9" x14ac:dyDescent="0.2">
      <c r="A29" s="7"/>
      <c r="B29" s="7" t="s">
        <v>312</v>
      </c>
      <c r="C29" s="5"/>
      <c r="D29" s="28">
        <f>I25</f>
        <v>0</v>
      </c>
      <c r="E29" s="5"/>
      <c r="F29" s="5"/>
      <c r="G29" s="5"/>
      <c r="H29" s="5"/>
      <c r="I29" s="5"/>
    </row>
    <row r="30" spans="1:9" x14ac:dyDescent="0.2">
      <c r="A30" s="7"/>
      <c r="B30" s="7" t="s">
        <v>22</v>
      </c>
      <c r="C30" s="5"/>
      <c r="D30" s="5">
        <f>+D28-D29</f>
        <v>0</v>
      </c>
      <c r="E30" s="5"/>
      <c r="F30" s="5"/>
      <c r="G30" s="5"/>
      <c r="H30" s="5"/>
      <c r="I30" s="5"/>
    </row>
    <row r="31" spans="1:9" x14ac:dyDescent="0.2">
      <c r="A31" s="7"/>
      <c r="B31" s="7" t="s">
        <v>23</v>
      </c>
      <c r="C31" s="5"/>
      <c r="D31" s="28">
        <f>+D30*C13</f>
        <v>0</v>
      </c>
      <c r="E31" s="5"/>
      <c r="F31" s="5"/>
      <c r="G31" s="5"/>
      <c r="H31" s="5"/>
      <c r="I31" s="5"/>
    </row>
    <row r="32" spans="1:9" x14ac:dyDescent="0.2">
      <c r="A32" s="7"/>
      <c r="B32" s="7" t="s">
        <v>24</v>
      </c>
      <c r="C32" s="5"/>
      <c r="D32" s="5">
        <f>+D28-D31</f>
        <v>0</v>
      </c>
      <c r="E32" s="5"/>
      <c r="F32" s="5"/>
      <c r="G32" s="5"/>
      <c r="H32" s="5"/>
      <c r="I32" s="5"/>
    </row>
    <row r="33" spans="1:9" x14ac:dyDescent="0.2">
      <c r="A33" s="7"/>
      <c r="B33" s="7"/>
      <c r="C33" s="5"/>
      <c r="D33" s="5"/>
      <c r="E33" s="5"/>
      <c r="F33" s="5"/>
      <c r="G33" s="5"/>
      <c r="H33" s="5"/>
      <c r="I33" s="5"/>
    </row>
    <row r="34" spans="1:9" x14ac:dyDescent="0.2">
      <c r="A34" s="7" t="s">
        <v>25</v>
      </c>
      <c r="B34" s="7"/>
      <c r="C34" s="5"/>
      <c r="D34" s="5"/>
      <c r="E34" s="5"/>
      <c r="F34" s="5"/>
      <c r="G34" s="5"/>
      <c r="H34" s="5"/>
      <c r="I34" s="5"/>
    </row>
    <row r="35" spans="1:9" ht="13.5" thickBot="1" x14ac:dyDescent="0.25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A36" s="7"/>
      <c r="B36" s="7" t="s">
        <v>26</v>
      </c>
      <c r="C36" s="5"/>
      <c r="D36" s="5">
        <f>C15</f>
        <v>3490468.3333333335</v>
      </c>
      <c r="E36" s="5">
        <f>$C$16*E44</f>
        <v>3620143.8</v>
      </c>
      <c r="F36" s="5">
        <f t="shared" ref="F36:I36" si="2">$C$16*F44</f>
        <v>5430215.7000000002</v>
      </c>
      <c r="G36" s="5">
        <f t="shared" si="2"/>
        <v>7240287.5999999996</v>
      </c>
      <c r="H36" s="5">
        <f t="shared" si="2"/>
        <v>7240287.5999999996</v>
      </c>
      <c r="I36" s="5">
        <f t="shared" si="2"/>
        <v>7240287.5999999996</v>
      </c>
    </row>
    <row r="37" spans="1:9" x14ac:dyDescent="0.2">
      <c r="A37" s="7"/>
      <c r="B37" s="7" t="s">
        <v>27</v>
      </c>
      <c r="C37" s="5"/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A38" s="7"/>
      <c r="B38" s="7" t="s">
        <v>28</v>
      </c>
      <c r="C38" s="5"/>
      <c r="D38" s="5">
        <f>0-D36</f>
        <v>-3490468.3333333335</v>
      </c>
      <c r="E38" s="5">
        <f>D36-E36</f>
        <v>-129675.46666666633</v>
      </c>
      <c r="F38" s="5">
        <f t="shared" ref="F38" si="3">E36-F36</f>
        <v>-1810071.9000000004</v>
      </c>
      <c r="G38" s="5">
        <f>F36-G36</f>
        <v>-1810071.8999999994</v>
      </c>
      <c r="H38" s="5">
        <f>G36-H36</f>
        <v>0</v>
      </c>
      <c r="I38" s="5">
        <f>H36-I36</f>
        <v>0</v>
      </c>
    </row>
    <row r="39" spans="1:9" ht="13.5" thickBot="1" x14ac:dyDescent="0.25">
      <c r="A39" s="7"/>
      <c r="B39" s="7" t="s">
        <v>29</v>
      </c>
      <c r="C39" s="5"/>
      <c r="D39" s="29"/>
      <c r="E39" s="29"/>
      <c r="F39" s="29"/>
      <c r="G39" s="29"/>
      <c r="H39" s="29"/>
      <c r="I39" s="29">
        <f>I36</f>
        <v>7240287.5999999996</v>
      </c>
    </row>
    <row r="40" spans="1:9" x14ac:dyDescent="0.2">
      <c r="A40" s="7"/>
      <c r="B40" s="7" t="s">
        <v>30</v>
      </c>
      <c r="C40" s="5"/>
      <c r="D40" s="5">
        <f>D38+D39</f>
        <v>-3490468.3333333335</v>
      </c>
      <c r="E40" s="5">
        <f t="shared" ref="E40:I40" si="4">E38+E39</f>
        <v>-129675.46666666633</v>
      </c>
      <c r="F40" s="5">
        <f t="shared" si="4"/>
        <v>-1810071.9000000004</v>
      </c>
      <c r="G40" s="5">
        <f t="shared" si="4"/>
        <v>-1810071.8999999994</v>
      </c>
      <c r="H40" s="5">
        <f>H38+H39</f>
        <v>0</v>
      </c>
      <c r="I40" s="5">
        <f t="shared" si="4"/>
        <v>7240287.5999999996</v>
      </c>
    </row>
    <row r="41" spans="1:9" x14ac:dyDescent="0.2">
      <c r="A41" s="7"/>
      <c r="B41" s="7"/>
      <c r="C41" s="5"/>
      <c r="D41" s="5"/>
      <c r="E41" s="5"/>
      <c r="F41" s="5"/>
      <c r="G41" s="5"/>
      <c r="H41" s="5"/>
      <c r="I41" s="5"/>
    </row>
    <row r="42" spans="1:9" x14ac:dyDescent="0.2">
      <c r="A42" s="7" t="s">
        <v>31</v>
      </c>
      <c r="B42" s="7"/>
      <c r="C42" s="5"/>
      <c r="D42" s="5"/>
      <c r="E42" s="5"/>
      <c r="F42" s="5"/>
      <c r="G42" s="5"/>
      <c r="H42" s="5"/>
      <c r="I42" s="5"/>
    </row>
    <row r="43" spans="1:9" ht="13.5" thickBot="1" x14ac:dyDescent="0.25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A44" s="7"/>
      <c r="B44" s="7" t="s">
        <v>32</v>
      </c>
      <c r="C44" s="5"/>
      <c r="D44" s="5"/>
      <c r="E44" s="161">
        <f>'Sales Forecast'!N40</f>
        <v>24134292</v>
      </c>
      <c r="F44" s="161">
        <f>'Sales Forecast'!O40</f>
        <v>36201438</v>
      </c>
      <c r="G44" s="161">
        <f>'Sales Forecast'!P40</f>
        <v>48268584</v>
      </c>
      <c r="H44" s="161">
        <f>'Sales Forecast'!Q40</f>
        <v>48268584</v>
      </c>
      <c r="I44" s="161">
        <f>'Sales Forecast'!R40</f>
        <v>48268584</v>
      </c>
    </row>
    <row r="45" spans="1:9" x14ac:dyDescent="0.2">
      <c r="A45" s="7"/>
      <c r="B45" s="7" t="s">
        <v>33</v>
      </c>
      <c r="C45" s="5"/>
      <c r="D45" s="5"/>
      <c r="E45" s="5">
        <f>E7</f>
        <v>14943196.2225</v>
      </c>
      <c r="F45" s="5">
        <f t="shared" ref="F45:I45" si="5">F7</f>
        <v>22247998.727499999</v>
      </c>
      <c r="G45" s="5">
        <f t="shared" si="5"/>
        <v>29979435.440500002</v>
      </c>
      <c r="H45" s="5">
        <f t="shared" si="5"/>
        <v>30035643.93375</v>
      </c>
      <c r="I45" s="5">
        <f t="shared" si="5"/>
        <v>30091852.427000001</v>
      </c>
    </row>
    <row r="46" spans="1:9" x14ac:dyDescent="0.2">
      <c r="A46" s="7"/>
      <c r="B46" s="7" t="s">
        <v>34</v>
      </c>
      <c r="C46" s="5"/>
      <c r="D46" s="5"/>
      <c r="E46" s="138" cm="1">
        <f t="array" ref="E46">FixedCosts_Total</f>
        <v>4626448.66</v>
      </c>
      <c r="F46" s="138" cm="1">
        <f t="array" ref="F46">FixedCosts_Total</f>
        <v>4626448.66</v>
      </c>
      <c r="G46" s="138" cm="1">
        <f t="array" ref="G46">FixedCosts_Total</f>
        <v>4626448.66</v>
      </c>
      <c r="H46" s="138" cm="1">
        <f t="array" ref="H46">FixedCosts_Total</f>
        <v>4626448.66</v>
      </c>
      <c r="I46" s="138" cm="1">
        <f t="array" ref="I46">FixedCosts_Total</f>
        <v>4626448.66</v>
      </c>
    </row>
    <row r="47" spans="1:9" ht="13.5" thickBot="1" x14ac:dyDescent="0.25">
      <c r="A47" s="7"/>
      <c r="B47" s="7" t="s">
        <v>18</v>
      </c>
      <c r="C47" s="5"/>
      <c r="D47" s="5"/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A48" s="7"/>
      <c r="B48" s="31" t="s">
        <v>35</v>
      </c>
      <c r="C48" s="5"/>
      <c r="D48" s="5"/>
      <c r="E48" s="32">
        <f t="shared" ref="E48:I48" si="6">+E44-E45-E46-E47</f>
        <v>298047.16949999984</v>
      </c>
      <c r="F48" s="32">
        <f t="shared" si="6"/>
        <v>5060390.6645000009</v>
      </c>
      <c r="G48" s="32">
        <f t="shared" si="6"/>
        <v>9396099.9514999986</v>
      </c>
      <c r="H48" s="32">
        <f t="shared" si="6"/>
        <v>9339891.4582500011</v>
      </c>
      <c r="I48" s="32">
        <f t="shared" si="6"/>
        <v>9283682.9649999999</v>
      </c>
    </row>
    <row r="49" spans="1:9" ht="13.5" thickBot="1" x14ac:dyDescent="0.25">
      <c r="A49" s="7"/>
      <c r="B49" s="7" t="s">
        <v>36</v>
      </c>
      <c r="C49" s="5"/>
      <c r="D49" s="5"/>
      <c r="E49" s="29">
        <f>E48*$C$13</f>
        <v>104316.50932499993</v>
      </c>
      <c r="F49" s="29">
        <f t="shared" ref="F49:I49" si="7">F48*$C$13</f>
        <v>1771136.7325750003</v>
      </c>
      <c r="G49" s="29">
        <f t="shared" si="7"/>
        <v>3288634.9830249995</v>
      </c>
      <c r="H49" s="29">
        <f t="shared" si="7"/>
        <v>3268962.0103875003</v>
      </c>
      <c r="I49" s="29">
        <f t="shared" si="7"/>
        <v>3249289.0377499997</v>
      </c>
    </row>
    <row r="50" spans="1:9" x14ac:dyDescent="0.2">
      <c r="A50" s="7"/>
      <c r="B50" s="7" t="s">
        <v>37</v>
      </c>
      <c r="C50" s="5"/>
      <c r="D50" s="5"/>
      <c r="E50" s="5">
        <f>E48-E49</f>
        <v>193730.66017499991</v>
      </c>
      <c r="F50" s="5">
        <f t="shared" ref="F50:I50" si="8">F48-F49</f>
        <v>3289253.9319250006</v>
      </c>
      <c r="G50" s="5">
        <f t="shared" si="8"/>
        <v>6107464.9684749991</v>
      </c>
      <c r="H50" s="5">
        <f t="shared" si="8"/>
        <v>6070929.4478625003</v>
      </c>
      <c r="I50" s="5">
        <f t="shared" si="8"/>
        <v>6034393.9272499997</v>
      </c>
    </row>
    <row r="51" spans="1:9" x14ac:dyDescent="0.2">
      <c r="A51" s="7"/>
      <c r="B51" s="7"/>
      <c r="C51" s="5"/>
      <c r="D51" s="5"/>
      <c r="E51" s="5"/>
      <c r="F51" s="5"/>
      <c r="G51" s="5"/>
      <c r="H51" s="5"/>
      <c r="I51" s="5"/>
    </row>
    <row r="52" spans="1:9" x14ac:dyDescent="0.2">
      <c r="A52" s="7" t="s">
        <v>38</v>
      </c>
      <c r="B52" s="7"/>
      <c r="C52" s="5"/>
      <c r="D52" s="5"/>
      <c r="E52" s="5"/>
      <c r="F52" s="5"/>
      <c r="G52" s="5"/>
      <c r="H52" s="5"/>
      <c r="I52" s="5"/>
    </row>
    <row r="53" spans="1:9" ht="13.5" thickBot="1" x14ac:dyDescent="0.25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A54" s="7"/>
      <c r="B54" s="31" t="s">
        <v>35</v>
      </c>
      <c r="C54" s="5"/>
      <c r="D54" s="5"/>
      <c r="E54" s="32">
        <f>E48</f>
        <v>298047.16949999984</v>
      </c>
      <c r="F54" s="32">
        <f t="shared" ref="F54:I54" si="9">F48</f>
        <v>5060390.6645000009</v>
      </c>
      <c r="G54" s="32">
        <f t="shared" si="9"/>
        <v>9396099.9514999986</v>
      </c>
      <c r="H54" s="32">
        <f t="shared" si="9"/>
        <v>9339891.4582500011</v>
      </c>
      <c r="I54" s="32">
        <f t="shared" si="9"/>
        <v>9283682.9649999999</v>
      </c>
    </row>
    <row r="55" spans="1:9" x14ac:dyDescent="0.2">
      <c r="A55" s="7"/>
      <c r="B55" s="7" t="s">
        <v>18</v>
      </c>
      <c r="C55" s="5"/>
      <c r="D55" s="5"/>
      <c r="E55" s="5">
        <f>E47</f>
        <v>4266599.9479999999</v>
      </c>
      <c r="F55" s="5">
        <f t="shared" ref="F55:I55" si="10">F47</f>
        <v>4266599.9479999999</v>
      </c>
      <c r="G55" s="5">
        <f t="shared" si="10"/>
        <v>4266599.9479999999</v>
      </c>
      <c r="H55" s="5">
        <f t="shared" si="10"/>
        <v>4266599.9479999999</v>
      </c>
      <c r="I55" s="5">
        <f t="shared" si="10"/>
        <v>4266599.9479999999</v>
      </c>
    </row>
    <row r="56" spans="1:9" ht="13.5" thickBot="1" x14ac:dyDescent="0.25">
      <c r="A56" s="7"/>
      <c r="B56" s="7" t="s">
        <v>36</v>
      </c>
      <c r="C56" s="5"/>
      <c r="D56" s="5"/>
      <c r="E56" s="29">
        <f>E49</f>
        <v>104316.50932499993</v>
      </c>
      <c r="F56" s="29">
        <f t="shared" ref="F56:I56" si="11">F49</f>
        <v>1771136.7325750003</v>
      </c>
      <c r="G56" s="29">
        <f t="shared" si="11"/>
        <v>3288634.9830249995</v>
      </c>
      <c r="H56" s="29">
        <f t="shared" si="11"/>
        <v>3268962.0103875003</v>
      </c>
      <c r="I56" s="29">
        <f t="shared" si="11"/>
        <v>3249289.0377499997</v>
      </c>
    </row>
    <row r="57" spans="1:9" x14ac:dyDescent="0.2">
      <c r="A57" s="7"/>
      <c r="B57" s="7" t="s">
        <v>38</v>
      </c>
      <c r="C57" s="5"/>
      <c r="D57" s="5"/>
      <c r="E57" s="5">
        <f>E54+E55-E56</f>
        <v>4460330.6081750002</v>
      </c>
      <c r="F57" s="5">
        <f t="shared" ref="F57:I57" si="12">F54+F55-F56</f>
        <v>7555853.8799250005</v>
      </c>
      <c r="G57" s="5">
        <f t="shared" si="12"/>
        <v>10374064.916474998</v>
      </c>
      <c r="H57" s="5">
        <f t="shared" si="12"/>
        <v>10337529.395862499</v>
      </c>
      <c r="I57" s="5">
        <f t="shared" si="12"/>
        <v>10300993.875249999</v>
      </c>
    </row>
    <row r="58" spans="1:9" x14ac:dyDescent="0.2">
      <c r="A58" s="7"/>
      <c r="B58" s="7"/>
      <c r="C58" s="5"/>
      <c r="D58" s="5"/>
      <c r="E58" s="5"/>
      <c r="F58" s="5"/>
      <c r="G58" s="5"/>
      <c r="H58" s="5"/>
      <c r="I58" s="5"/>
    </row>
    <row r="59" spans="1:9" x14ac:dyDescent="0.2">
      <c r="A59" s="7" t="s">
        <v>39</v>
      </c>
      <c r="B59" s="7"/>
      <c r="C59" s="5"/>
      <c r="D59" s="5"/>
      <c r="E59" s="5"/>
      <c r="F59" s="5"/>
      <c r="G59" s="5"/>
      <c r="H59" s="5"/>
      <c r="I59" s="5"/>
    </row>
    <row r="60" spans="1:9" ht="13.5" thickBot="1" x14ac:dyDescent="0.25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A61" s="7"/>
      <c r="B61" s="7" t="s">
        <v>38</v>
      </c>
      <c r="C61" s="5"/>
      <c r="D61" s="5"/>
      <c r="E61" s="5">
        <f>E57</f>
        <v>4460330.6081750002</v>
      </c>
      <c r="F61" s="5">
        <f t="shared" ref="F61:I61" si="13">F57</f>
        <v>7555853.8799250005</v>
      </c>
      <c r="G61" s="5">
        <f t="shared" si="13"/>
        <v>10374064.916474998</v>
      </c>
      <c r="H61" s="5">
        <f t="shared" si="13"/>
        <v>10337529.395862499</v>
      </c>
      <c r="I61" s="5">
        <f t="shared" si="13"/>
        <v>10300993.875249999</v>
      </c>
    </row>
    <row r="62" spans="1:9" ht="15" x14ac:dyDescent="0.25">
      <c r="A62" s="7"/>
      <c r="B62" s="7" t="s">
        <v>28</v>
      </c>
      <c r="C62" s="5"/>
      <c r="D62" s="5">
        <f>D40</f>
        <v>-3490468.3333333335</v>
      </c>
      <c r="E62" s="5">
        <f t="shared" ref="E62:I62" si="14">E40</f>
        <v>-129675.46666666633</v>
      </c>
      <c r="F62" s="5">
        <f t="shared" si="14"/>
        <v>-1810071.9000000004</v>
      </c>
      <c r="G62" s="5">
        <f t="shared" si="14"/>
        <v>-1810071.8999999994</v>
      </c>
      <c r="H62" s="5">
        <f t="shared" si="14"/>
        <v>0</v>
      </c>
      <c r="I62" s="5">
        <f t="shared" si="14"/>
        <v>7240287.5999999996</v>
      </c>
    </row>
    <row r="63" spans="1:9" ht="13.5" thickBot="1" x14ac:dyDescent="0.25">
      <c r="A63" s="7"/>
      <c r="B63" s="7" t="s">
        <v>40</v>
      </c>
      <c r="C63" s="5"/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A64" s="7"/>
      <c r="B64" s="7" t="s">
        <v>41</v>
      </c>
      <c r="C64" s="5"/>
      <c r="D64" s="5">
        <f>SUM(D61:D63)</f>
        <v>-24784468.333333332</v>
      </c>
      <c r="E64" s="5">
        <f t="shared" ref="E64:I64" si="15">SUM(E61:E63)</f>
        <v>4330655.1415083334</v>
      </c>
      <c r="F64" s="5">
        <f t="shared" si="15"/>
        <v>5745781.9799250001</v>
      </c>
      <c r="G64" s="5">
        <f t="shared" si="15"/>
        <v>8563993.0164749995</v>
      </c>
      <c r="H64" s="5">
        <f t="shared" si="15"/>
        <v>10337529.395862499</v>
      </c>
      <c r="I64" s="5">
        <f t="shared" si="15"/>
        <v>17541281.475249998</v>
      </c>
    </row>
    <row r="65" spans="1:9" x14ac:dyDescent="0.2">
      <c r="A65" s="7"/>
      <c r="B65" s="7"/>
      <c r="C65" s="5"/>
      <c r="D65" s="5"/>
      <c r="E65" s="5"/>
      <c r="F65" s="5"/>
      <c r="G65" s="5"/>
      <c r="H65" s="5"/>
      <c r="I65" s="5"/>
    </row>
    <row r="66" spans="1:9" x14ac:dyDescent="0.2">
      <c r="A66" s="7"/>
      <c r="B66" s="7" t="s">
        <v>42</v>
      </c>
      <c r="C66" s="5"/>
      <c r="D66" s="5">
        <f>D64/(1+$C14)^D60</f>
        <v>-24784468.333333332</v>
      </c>
      <c r="E66" s="5">
        <f t="shared" ref="E66:I66" si="16">E64/(1+$C14)^E60</f>
        <v>3608879.2845902778</v>
      </c>
      <c r="F66" s="5">
        <f t="shared" si="16"/>
        <v>3990126.3749479167</v>
      </c>
      <c r="G66" s="5">
        <f t="shared" si="16"/>
        <v>4956014.4771267362</v>
      </c>
      <c r="H66" s="5">
        <f t="shared" si="16"/>
        <v>4985305.4571096161</v>
      </c>
      <c r="I66" s="5">
        <f t="shared" si="16"/>
        <v>7049447.6093307929</v>
      </c>
    </row>
    <row r="67" spans="1:9" x14ac:dyDescent="0.2">
      <c r="A67" s="7"/>
      <c r="B67" s="7"/>
      <c r="C67" s="5"/>
      <c r="D67" s="5"/>
      <c r="E67" s="5"/>
      <c r="F67" s="5"/>
      <c r="G67" s="5"/>
      <c r="H67" s="5"/>
      <c r="I67" s="5"/>
    </row>
    <row r="68" spans="1:9" ht="13.5" thickBot="1" x14ac:dyDescent="0.25">
      <c r="A68" s="7"/>
      <c r="B68" s="7"/>
      <c r="C68" s="5"/>
      <c r="D68" s="5"/>
      <c r="E68" s="5"/>
      <c r="F68" s="5"/>
      <c r="G68" s="5"/>
      <c r="H68" s="5"/>
      <c r="I68" s="5"/>
    </row>
    <row r="69" spans="1:9" ht="13.5" thickTop="1" x14ac:dyDescent="0.2">
      <c r="A69" s="7"/>
      <c r="B69" s="33" t="s">
        <v>43</v>
      </c>
      <c r="C69" s="34"/>
      <c r="D69" s="183">
        <f>SUM(D66:I66)</f>
        <v>-194695.13022799231</v>
      </c>
      <c r="E69" s="35"/>
      <c r="F69" s="5"/>
      <c r="G69" s="5"/>
      <c r="H69" s="5"/>
      <c r="I69" s="5"/>
    </row>
    <row r="70" spans="1:9" ht="13.5" thickBot="1" x14ac:dyDescent="0.25">
      <c r="A70" s="7"/>
      <c r="B70" s="36" t="s">
        <v>44</v>
      </c>
      <c r="C70" s="23"/>
      <c r="D70" s="104">
        <f>IRR(D64:I64)</f>
        <v>0.19715511492943927</v>
      </c>
      <c r="E70" s="35"/>
      <c r="F70" s="5"/>
      <c r="G70" s="5"/>
      <c r="H70" s="5"/>
      <c r="I70" s="5"/>
    </row>
  </sheetData>
  <conditionalFormatting sqref="D69">
    <cfRule type="cellIs" dxfId="4" priority="1" operator="lessThan">
      <formula>0</formula>
    </cfRule>
  </conditionalFormatting>
  <pageMargins left="0.7" right="0.7" top="0.75" bottom="0.75" header="0.3" footer="0.3"/>
  <pageSetup scale="6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1C58-2858-4853-B431-C81987F703FC}">
  <sheetPr codeName="Sheet4"/>
  <dimension ref="A1:I70"/>
  <sheetViews>
    <sheetView zoomScale="110" zoomScaleNormal="110" workbookViewId="0">
      <selection activeCell="C18" sqref="C18"/>
    </sheetView>
  </sheetViews>
  <sheetFormatPr defaultRowHeight="12.75" x14ac:dyDescent="0.2"/>
  <cols>
    <col min="1" max="1" width="5.7109375" customWidth="1"/>
    <col min="2" max="2" width="35.7109375" bestFit="1" customWidth="1"/>
    <col min="3" max="3" width="12.28515625" bestFit="1" customWidth="1"/>
    <col min="4" max="4" width="12.5703125" bestFit="1" customWidth="1"/>
    <col min="5" max="9" width="12.85546875" bestFit="1" customWidth="1"/>
  </cols>
  <sheetData>
    <row r="1" spans="1:9" ht="15.75" x14ac:dyDescent="0.25">
      <c r="A1" s="2" t="s">
        <v>0</v>
      </c>
      <c r="B1" s="3"/>
      <c r="C1" s="4"/>
      <c r="D1" s="5"/>
      <c r="E1" s="5"/>
      <c r="F1" s="5"/>
      <c r="G1" s="6"/>
      <c r="H1" s="5"/>
      <c r="I1" s="5"/>
    </row>
    <row r="2" spans="1:9" ht="13.5" thickBot="1" x14ac:dyDescent="0.25">
      <c r="A2" s="7" t="s">
        <v>1</v>
      </c>
      <c r="B2" s="7"/>
      <c r="C2" s="5"/>
      <c r="D2" s="5"/>
      <c r="E2" s="5"/>
      <c r="F2" s="5"/>
      <c r="G2" s="5"/>
      <c r="H2" s="5"/>
      <c r="I2" s="5"/>
    </row>
    <row r="3" spans="1:9" ht="13.5" thickBot="1" x14ac:dyDescent="0.25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4" spans="1:9" ht="13.5" thickBot="1" x14ac:dyDescent="0.25">
      <c r="A4" s="7"/>
      <c r="B4" s="7"/>
      <c r="C4" s="5"/>
      <c r="D4" s="5"/>
      <c r="E4" s="5"/>
      <c r="F4" s="5"/>
      <c r="G4" s="5"/>
      <c r="H4" s="5"/>
      <c r="I4" s="5"/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Forecast'!Z37</f>
        <v>3030.2000000000003</v>
      </c>
      <c r="F6" s="160">
        <f>'Sales Forecast'!AA37</f>
        <v>4545.3</v>
      </c>
      <c r="G6" s="160">
        <f>'Sales Forecast'!AB37</f>
        <v>6060.4000000000005</v>
      </c>
      <c r="H6" s="160">
        <f>'Sales Forecast'!AC37</f>
        <v>6060.4000000000005</v>
      </c>
      <c r="I6" s="160">
        <f>'Sales Forecast'!AD37</f>
        <v>6060.4000000000005</v>
      </c>
    </row>
    <row r="7" spans="1:9" x14ac:dyDescent="0.2">
      <c r="A7" s="13"/>
      <c r="B7" s="14" t="s">
        <v>5</v>
      </c>
      <c r="C7" s="30"/>
      <c r="D7" s="15"/>
      <c r="E7" s="16">
        <f>Computations!B64*1.09</f>
        <v>17898993.2775</v>
      </c>
      <c r="F7" s="16">
        <f>Computations!C64*1.09</f>
        <v>26648701.772500001</v>
      </c>
      <c r="G7" s="16">
        <f>Computations!D64*1.09</f>
        <v>35909433.659500003</v>
      </c>
      <c r="H7" s="16">
        <f>Computations!E64*1.09</f>
        <v>35976760.316250004</v>
      </c>
      <c r="I7" s="16">
        <f>Computations!F64*1.09</f>
        <v>36044086.973000005</v>
      </c>
    </row>
    <row r="8" spans="1:9" x14ac:dyDescent="0.2">
      <c r="A8" s="13"/>
      <c r="B8" s="14" t="s">
        <v>6</v>
      </c>
      <c r="C8" s="30"/>
      <c r="D8" s="15"/>
      <c r="E8" s="16">
        <f>'Capital Budgeting'!E8</f>
        <v>4626448.66</v>
      </c>
      <c r="F8" s="16">
        <f>'Capital Budgeting'!F8</f>
        <v>4626448.66</v>
      </c>
      <c r="G8" s="16">
        <f>'Capital Budgeting'!G8</f>
        <v>4405755</v>
      </c>
      <c r="H8" s="16">
        <f>'Capital Budgeting'!H8</f>
        <v>4405755</v>
      </c>
      <c r="I8" s="16">
        <f>'Capital Budgeting'!I8</f>
        <v>4405755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 cm="1">
        <f t="array" ref="E10:E12">'Sales Forecast'!$B$3:$B$5</f>
        <v>450</v>
      </c>
      <c r="F10" s="16" cm="1">
        <f t="array" ref="F10:F12">'Sales Forecast'!$B$3:$B$5</f>
        <v>450</v>
      </c>
      <c r="G10" s="16" cm="1">
        <f t="array" ref="G10:G12">'Sales Forecast'!$B$3:$B$5</f>
        <v>450</v>
      </c>
      <c r="H10" s="16" cm="1">
        <f t="array" ref="H10:H12">'Sales Forecast'!$B$3:$B$5</f>
        <v>450</v>
      </c>
      <c r="I10" s="16" cm="1">
        <f t="array" ref="I10:I12">'Sales Forecast'!$B$3:$B$5</f>
        <v>450</v>
      </c>
    </row>
    <row r="11" spans="1:9" x14ac:dyDescent="0.2">
      <c r="A11" s="13"/>
      <c r="B11" s="17" t="s">
        <v>9</v>
      </c>
      <c r="C11" s="98"/>
      <c r="D11" s="18"/>
      <c r="E11" s="16">
        <v>850</v>
      </c>
      <c r="F11" s="16">
        <v>850</v>
      </c>
      <c r="G11" s="16">
        <v>850</v>
      </c>
      <c r="H11" s="16">
        <v>850</v>
      </c>
      <c r="I11" s="16">
        <v>850</v>
      </c>
    </row>
    <row r="12" spans="1:9" x14ac:dyDescent="0.2">
      <c r="A12" s="13"/>
      <c r="B12" s="17" t="s">
        <v>10</v>
      </c>
      <c r="C12" s="98"/>
      <c r="D12" s="18"/>
      <c r="E12" s="16">
        <v>900</v>
      </c>
      <c r="F12" s="16">
        <v>900</v>
      </c>
      <c r="G12" s="16">
        <v>900</v>
      </c>
      <c r="H12" s="16">
        <v>900</v>
      </c>
      <c r="I12" s="16">
        <v>900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135">
        <v>0.2</v>
      </c>
      <c r="D14" s="15"/>
      <c r="E14" s="96">
        <f>C14</f>
        <v>0.2</v>
      </c>
      <c r="F14" s="96">
        <f>C14</f>
        <v>0.2</v>
      </c>
      <c r="G14" s="96">
        <f>C14</f>
        <v>0.2</v>
      </c>
      <c r="H14" s="96">
        <f>C14</f>
        <v>0.2</v>
      </c>
      <c r="I14" s="96">
        <f>C14</f>
        <v>0.2</v>
      </c>
    </row>
    <row r="15" spans="1:9" x14ac:dyDescent="0.2">
      <c r="A15" s="13"/>
      <c r="B15" s="14" t="s">
        <v>13</v>
      </c>
      <c r="C15" s="15">
        <f>'Capital Budgeting'!C15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9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9" ht="13.5" thickBot="1" x14ac:dyDescent="0.25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19" spans="1:9" x14ac:dyDescent="0.2">
      <c r="A19" s="7"/>
      <c r="B19" s="7"/>
      <c r="C19" s="5"/>
      <c r="D19" s="5"/>
      <c r="E19" s="5"/>
      <c r="F19" s="5"/>
      <c r="G19" s="5"/>
      <c r="H19" s="5"/>
      <c r="I19" s="5"/>
    </row>
    <row r="20" spans="1:9" x14ac:dyDescent="0.2">
      <c r="A20" s="7" t="s">
        <v>352</v>
      </c>
      <c r="B20" s="7"/>
      <c r="C20" s="5"/>
      <c r="D20" s="5"/>
      <c r="E20" s="5"/>
      <c r="F20" s="5"/>
      <c r="G20" s="5"/>
      <c r="H20" s="5"/>
      <c r="I20" s="5"/>
    </row>
    <row r="21" spans="1:9" x14ac:dyDescent="0.2">
      <c r="A21" s="7"/>
      <c r="B21" s="7" t="s">
        <v>17</v>
      </c>
      <c r="C21" s="5">
        <f>C17</f>
        <v>21332999.739999998</v>
      </c>
      <c r="D21" s="5"/>
      <c r="E21" s="5"/>
      <c r="F21" s="5"/>
      <c r="G21" s="5"/>
      <c r="H21" s="5"/>
      <c r="I21" s="5"/>
    </row>
    <row r="22" spans="1:9" ht="13.5" thickBot="1" x14ac:dyDescent="0.25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</row>
    <row r="23" spans="1:9" x14ac:dyDescent="0.2">
      <c r="A23" s="7"/>
      <c r="B23" s="26" t="s">
        <v>353</v>
      </c>
      <c r="C23" s="5"/>
      <c r="D23" s="5"/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9" x14ac:dyDescent="0.2">
      <c r="A24" s="7"/>
      <c r="B24" s="26" t="s">
        <v>354</v>
      </c>
      <c r="C24" s="5"/>
      <c r="D24" s="5"/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9" x14ac:dyDescent="0.2">
      <c r="A25" s="7"/>
      <c r="B25" s="184" t="s">
        <v>19</v>
      </c>
      <c r="C25" s="5"/>
      <c r="D25" s="5"/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6" spans="1:9" x14ac:dyDescent="0.2">
      <c r="A26" s="7"/>
      <c r="B26" s="7"/>
      <c r="C26" s="5"/>
      <c r="D26" s="5"/>
      <c r="E26" s="5"/>
      <c r="F26" s="5"/>
      <c r="G26" s="5"/>
      <c r="H26" s="5"/>
      <c r="I26" s="5"/>
    </row>
    <row r="27" spans="1:9" x14ac:dyDescent="0.2">
      <c r="A27" s="7" t="s">
        <v>20</v>
      </c>
      <c r="B27" s="7"/>
      <c r="C27" s="5"/>
      <c r="D27" s="5"/>
      <c r="E27" s="5"/>
      <c r="F27" s="5"/>
      <c r="G27" s="5"/>
      <c r="H27" s="5"/>
      <c r="I27" s="5"/>
    </row>
    <row r="28" spans="1:9" x14ac:dyDescent="0.2">
      <c r="A28" s="7"/>
      <c r="B28" s="7" t="s">
        <v>21</v>
      </c>
      <c r="C28" s="123">
        <f>C18</f>
        <v>0</v>
      </c>
      <c r="D28" s="5">
        <f>+C17*$C$28</f>
        <v>0</v>
      </c>
      <c r="E28" s="5"/>
      <c r="F28" s="5"/>
      <c r="G28" s="5"/>
      <c r="H28" s="5"/>
      <c r="I28" s="5"/>
    </row>
    <row r="29" spans="1:9" x14ac:dyDescent="0.2">
      <c r="A29" s="7"/>
      <c r="B29" s="7" t="s">
        <v>312</v>
      </c>
      <c r="C29" s="5"/>
      <c r="D29" s="28">
        <f>I25</f>
        <v>0</v>
      </c>
      <c r="E29" s="5"/>
      <c r="F29" s="5"/>
      <c r="G29" s="5"/>
      <c r="H29" s="5"/>
      <c r="I29" s="5"/>
    </row>
    <row r="30" spans="1:9" x14ac:dyDescent="0.2">
      <c r="A30" s="7"/>
      <c r="B30" s="7" t="s">
        <v>22</v>
      </c>
      <c r="C30" s="5"/>
      <c r="D30" s="5">
        <f>+D28-D29</f>
        <v>0</v>
      </c>
      <c r="E30" s="5"/>
      <c r="F30" s="5"/>
      <c r="G30" s="5"/>
      <c r="H30" s="5"/>
      <c r="I30" s="5"/>
    </row>
    <row r="31" spans="1:9" x14ac:dyDescent="0.2">
      <c r="A31" s="7"/>
      <c r="B31" s="7" t="s">
        <v>23</v>
      </c>
      <c r="C31" s="5"/>
      <c r="D31" s="28">
        <f>+D30*C13</f>
        <v>0</v>
      </c>
      <c r="E31" s="5"/>
      <c r="F31" s="5"/>
      <c r="G31" s="5"/>
      <c r="H31" s="5"/>
      <c r="I31" s="5"/>
    </row>
    <row r="32" spans="1:9" x14ac:dyDescent="0.2">
      <c r="A32" s="7"/>
      <c r="B32" s="7" t="s">
        <v>24</v>
      </c>
      <c r="C32" s="5"/>
      <c r="D32" s="5">
        <f>+D28-D31</f>
        <v>0</v>
      </c>
      <c r="E32" s="5"/>
      <c r="F32" s="5"/>
      <c r="G32" s="5"/>
      <c r="H32" s="5"/>
      <c r="I32" s="5"/>
    </row>
    <row r="33" spans="1:9" x14ac:dyDescent="0.2">
      <c r="A33" s="7"/>
      <c r="B33" s="7"/>
      <c r="C33" s="5"/>
      <c r="D33" s="5"/>
      <c r="E33" s="5"/>
      <c r="F33" s="5"/>
      <c r="G33" s="5"/>
      <c r="H33" s="5"/>
      <c r="I33" s="5"/>
    </row>
    <row r="34" spans="1:9" x14ac:dyDescent="0.2">
      <c r="A34" s="7" t="s">
        <v>25</v>
      </c>
      <c r="B34" s="7"/>
      <c r="C34" s="5"/>
      <c r="D34" s="5"/>
      <c r="E34" s="5"/>
      <c r="F34" s="5"/>
      <c r="G34" s="5"/>
      <c r="H34" s="5"/>
      <c r="I34" s="5"/>
    </row>
    <row r="35" spans="1:9" ht="13.5" thickBot="1" x14ac:dyDescent="0.25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A36" s="7"/>
      <c r="B36" s="7" t="s">
        <v>26</v>
      </c>
      <c r="C36" s="5"/>
      <c r="D36" s="5">
        <f>C15</f>
        <v>3490468.3333333335</v>
      </c>
      <c r="E36" s="5">
        <f>$C$16*E44</f>
        <v>4336216.2</v>
      </c>
      <c r="F36" s="5">
        <f t="shared" ref="F36:I36" si="2">$C$16*F44</f>
        <v>6504324.3000000007</v>
      </c>
      <c r="G36" s="5">
        <f t="shared" si="2"/>
        <v>8672432.4000000004</v>
      </c>
      <c r="H36" s="5">
        <f t="shared" si="2"/>
        <v>8672432.4000000004</v>
      </c>
      <c r="I36" s="5">
        <f t="shared" si="2"/>
        <v>8672432.4000000004</v>
      </c>
    </row>
    <row r="37" spans="1:9" x14ac:dyDescent="0.2">
      <c r="A37" s="7"/>
      <c r="B37" s="7" t="s">
        <v>27</v>
      </c>
      <c r="C37" s="5"/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A38" s="7"/>
      <c r="B38" s="7" t="s">
        <v>28</v>
      </c>
      <c r="C38" s="5"/>
      <c r="D38" s="5">
        <f>0-D36</f>
        <v>-3490468.3333333335</v>
      </c>
      <c r="E38" s="5">
        <f>D36-E36</f>
        <v>-845747.8666666667</v>
      </c>
      <c r="F38" s="5">
        <f t="shared" ref="F38" si="3">E36-F36</f>
        <v>-2168108.1000000006</v>
      </c>
      <c r="G38" s="5">
        <f>F36-G36</f>
        <v>-2168108.0999999996</v>
      </c>
      <c r="H38" s="5">
        <f>G36-H36</f>
        <v>0</v>
      </c>
      <c r="I38" s="5">
        <f>H36-I36</f>
        <v>0</v>
      </c>
    </row>
    <row r="39" spans="1:9" ht="13.5" thickBot="1" x14ac:dyDescent="0.25">
      <c r="A39" s="7"/>
      <c r="B39" s="7" t="s">
        <v>29</v>
      </c>
      <c r="C39" s="5"/>
      <c r="D39" s="29"/>
      <c r="E39" s="29"/>
      <c r="F39" s="29"/>
      <c r="G39" s="29"/>
      <c r="H39" s="29"/>
      <c r="I39" s="29">
        <f>I36</f>
        <v>8672432.4000000004</v>
      </c>
    </row>
    <row r="40" spans="1:9" x14ac:dyDescent="0.2">
      <c r="A40" s="7"/>
      <c r="B40" s="7" t="s">
        <v>30</v>
      </c>
      <c r="C40" s="5"/>
      <c r="D40" s="5">
        <f>D38+D39</f>
        <v>-3490468.3333333335</v>
      </c>
      <c r="E40" s="5">
        <f t="shared" ref="E40:I40" si="4">E38+E39</f>
        <v>-845747.8666666667</v>
      </c>
      <c r="F40" s="5">
        <f t="shared" si="4"/>
        <v>-2168108.1000000006</v>
      </c>
      <c r="G40" s="5">
        <f t="shared" si="4"/>
        <v>-2168108.0999999996</v>
      </c>
      <c r="H40" s="5">
        <f>H38+H39</f>
        <v>0</v>
      </c>
      <c r="I40" s="5">
        <f t="shared" si="4"/>
        <v>8672432.4000000004</v>
      </c>
    </row>
    <row r="41" spans="1:9" x14ac:dyDescent="0.2">
      <c r="A41" s="7"/>
      <c r="B41" s="7"/>
      <c r="C41" s="5"/>
      <c r="D41" s="5"/>
      <c r="E41" s="5"/>
      <c r="F41" s="5"/>
      <c r="G41" s="5"/>
      <c r="H41" s="5"/>
      <c r="I41" s="5"/>
    </row>
    <row r="42" spans="1:9" x14ac:dyDescent="0.2">
      <c r="A42" s="7" t="s">
        <v>31</v>
      </c>
      <c r="B42" s="7"/>
      <c r="C42" s="5"/>
      <c r="D42" s="5"/>
      <c r="E42" s="5"/>
      <c r="F42" s="5"/>
      <c r="G42" s="5"/>
      <c r="H42" s="5"/>
      <c r="I42" s="5"/>
    </row>
    <row r="43" spans="1:9" ht="13.5" thickBot="1" x14ac:dyDescent="0.25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A44" s="7"/>
      <c r="B44" s="7" t="s">
        <v>32</v>
      </c>
      <c r="C44" s="5"/>
      <c r="D44" s="5"/>
      <c r="E44" s="161">
        <f>'Sales Forecast'!Z40</f>
        <v>28908108</v>
      </c>
      <c r="F44" s="161">
        <f>'Sales Forecast'!AA40</f>
        <v>43362162.000000007</v>
      </c>
      <c r="G44" s="161">
        <f>'Sales Forecast'!AB40</f>
        <v>57816216</v>
      </c>
      <c r="H44" s="161">
        <f>'Sales Forecast'!AC40</f>
        <v>57816216</v>
      </c>
      <c r="I44" s="161">
        <f>'Sales Forecast'!AD40</f>
        <v>57816216</v>
      </c>
    </row>
    <row r="45" spans="1:9" x14ac:dyDescent="0.2">
      <c r="A45" s="7"/>
      <c r="B45" s="7" t="s">
        <v>33</v>
      </c>
      <c r="C45" s="5"/>
      <c r="D45" s="5"/>
      <c r="E45" s="5">
        <f>E7</f>
        <v>17898993.2775</v>
      </c>
      <c r="F45" s="5">
        <f t="shared" ref="F45:I45" si="5">F7</f>
        <v>26648701.772500001</v>
      </c>
      <c r="G45" s="5">
        <f t="shared" si="5"/>
        <v>35909433.659500003</v>
      </c>
      <c r="H45" s="5">
        <f t="shared" si="5"/>
        <v>35976760.316250004</v>
      </c>
      <c r="I45" s="5">
        <f t="shared" si="5"/>
        <v>36044086.973000005</v>
      </c>
    </row>
    <row r="46" spans="1:9" x14ac:dyDescent="0.2">
      <c r="A46" s="7"/>
      <c r="B46" s="7" t="s">
        <v>34</v>
      </c>
      <c r="C46" s="5"/>
      <c r="D46" s="5"/>
      <c r="E46" s="138" cm="1">
        <f t="array" ref="E46">FixedCosts_Total</f>
        <v>4626448.66</v>
      </c>
      <c r="F46" s="138" cm="1">
        <f t="array" ref="F46">FixedCosts_Total</f>
        <v>4626448.66</v>
      </c>
      <c r="G46" s="138" cm="1">
        <f t="array" ref="G46">FixedCosts_Total</f>
        <v>4626448.66</v>
      </c>
      <c r="H46" s="138" cm="1">
        <f t="array" ref="H46">FixedCosts_Total</f>
        <v>4626448.66</v>
      </c>
      <c r="I46" s="138" cm="1">
        <f t="array" ref="I46">FixedCosts_Total</f>
        <v>4626448.66</v>
      </c>
    </row>
    <row r="47" spans="1:9" ht="13.5" thickBot="1" x14ac:dyDescent="0.25">
      <c r="A47" s="7"/>
      <c r="B47" s="7" t="s">
        <v>18</v>
      </c>
      <c r="C47" s="5"/>
      <c r="D47" s="5"/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A48" s="7"/>
      <c r="B48" s="31" t="s">
        <v>35</v>
      </c>
      <c r="C48" s="5"/>
      <c r="D48" s="5"/>
      <c r="E48" s="32">
        <f t="shared" ref="E48:I48" si="6">+E44-E45-E46-E47</f>
        <v>2116066.1145000001</v>
      </c>
      <c r="F48" s="32">
        <f t="shared" si="6"/>
        <v>7820411.6195000065</v>
      </c>
      <c r="G48" s="32">
        <f t="shared" si="6"/>
        <v>13013733.732499998</v>
      </c>
      <c r="H48" s="32">
        <f t="shared" si="6"/>
        <v>12946407.075749997</v>
      </c>
      <c r="I48" s="32">
        <f t="shared" si="6"/>
        <v>12879080.418999996</v>
      </c>
    </row>
    <row r="49" spans="1:9" ht="13.5" thickBot="1" x14ac:dyDescent="0.25">
      <c r="A49" s="7"/>
      <c r="B49" s="7" t="s">
        <v>36</v>
      </c>
      <c r="C49" s="5"/>
      <c r="D49" s="5"/>
      <c r="E49" s="29">
        <f>E48*$C$13</f>
        <v>740623.140075</v>
      </c>
      <c r="F49" s="29">
        <f t="shared" ref="F49:I49" si="7">F48*$C$13</f>
        <v>2737144.066825002</v>
      </c>
      <c r="G49" s="29">
        <f t="shared" si="7"/>
        <v>4554806.8063749988</v>
      </c>
      <c r="H49" s="29">
        <f t="shared" si="7"/>
        <v>4531242.4765124982</v>
      </c>
      <c r="I49" s="29">
        <f t="shared" si="7"/>
        <v>4507678.1466499986</v>
      </c>
    </row>
    <row r="50" spans="1:9" x14ac:dyDescent="0.2">
      <c r="A50" s="7"/>
      <c r="B50" s="7" t="s">
        <v>37</v>
      </c>
      <c r="C50" s="5"/>
      <c r="D50" s="5"/>
      <c r="E50" s="5">
        <f>E48-E49</f>
        <v>1375442.9744250001</v>
      </c>
      <c r="F50" s="5">
        <f t="shared" ref="F50:I50" si="8">F48-F49</f>
        <v>5083267.552675005</v>
      </c>
      <c r="G50" s="5">
        <f t="shared" si="8"/>
        <v>8458926.9261249993</v>
      </c>
      <c r="H50" s="5">
        <f t="shared" si="8"/>
        <v>8415164.5992374979</v>
      </c>
      <c r="I50" s="5">
        <f t="shared" si="8"/>
        <v>8371402.2723499974</v>
      </c>
    </row>
    <row r="51" spans="1:9" x14ac:dyDescent="0.2">
      <c r="A51" s="7"/>
      <c r="B51" s="7"/>
      <c r="C51" s="5"/>
      <c r="D51" s="5"/>
      <c r="E51" s="5"/>
      <c r="F51" s="5"/>
      <c r="G51" s="5"/>
      <c r="H51" s="5"/>
      <c r="I51" s="5"/>
    </row>
    <row r="52" spans="1:9" x14ac:dyDescent="0.2">
      <c r="A52" s="7" t="s">
        <v>38</v>
      </c>
      <c r="B52" s="7"/>
      <c r="C52" s="5"/>
      <c r="D52" s="5"/>
      <c r="E52" s="5"/>
      <c r="F52" s="5"/>
      <c r="G52" s="5"/>
      <c r="H52" s="5"/>
      <c r="I52" s="5"/>
    </row>
    <row r="53" spans="1:9" ht="13.5" thickBot="1" x14ac:dyDescent="0.25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A54" s="7"/>
      <c r="B54" s="31" t="s">
        <v>35</v>
      </c>
      <c r="C54" s="5"/>
      <c r="D54" s="5"/>
      <c r="E54" s="32">
        <f>E48</f>
        <v>2116066.1145000001</v>
      </c>
      <c r="F54" s="32">
        <f t="shared" ref="F54:I54" si="9">F48</f>
        <v>7820411.6195000065</v>
      </c>
      <c r="G54" s="32">
        <f t="shared" si="9"/>
        <v>13013733.732499998</v>
      </c>
      <c r="H54" s="32">
        <f t="shared" si="9"/>
        <v>12946407.075749997</v>
      </c>
      <c r="I54" s="32">
        <f t="shared" si="9"/>
        <v>12879080.418999996</v>
      </c>
    </row>
    <row r="55" spans="1:9" x14ac:dyDescent="0.2">
      <c r="A55" s="7"/>
      <c r="B55" s="7" t="s">
        <v>18</v>
      </c>
      <c r="C55" s="5"/>
      <c r="D55" s="5"/>
      <c r="E55" s="5">
        <f>E47</f>
        <v>4266599.9479999999</v>
      </c>
      <c r="F55" s="5">
        <f t="shared" ref="F55:I55" si="10">F47</f>
        <v>4266599.9479999999</v>
      </c>
      <c r="G55" s="5">
        <f t="shared" si="10"/>
        <v>4266599.9479999999</v>
      </c>
      <c r="H55" s="5">
        <f t="shared" si="10"/>
        <v>4266599.9479999999</v>
      </c>
      <c r="I55" s="5">
        <f t="shared" si="10"/>
        <v>4266599.9479999999</v>
      </c>
    </row>
    <row r="56" spans="1:9" ht="13.5" thickBot="1" x14ac:dyDescent="0.25">
      <c r="A56" s="7"/>
      <c r="B56" s="7" t="s">
        <v>36</v>
      </c>
      <c r="C56" s="5"/>
      <c r="D56" s="5"/>
      <c r="E56" s="29">
        <f>E49</f>
        <v>740623.140075</v>
      </c>
      <c r="F56" s="29">
        <f t="shared" ref="F56:I56" si="11">F49</f>
        <v>2737144.066825002</v>
      </c>
      <c r="G56" s="29">
        <f t="shared" si="11"/>
        <v>4554806.8063749988</v>
      </c>
      <c r="H56" s="29">
        <f t="shared" si="11"/>
        <v>4531242.4765124982</v>
      </c>
      <c r="I56" s="29">
        <f t="shared" si="11"/>
        <v>4507678.1466499986</v>
      </c>
    </row>
    <row r="57" spans="1:9" x14ac:dyDescent="0.2">
      <c r="A57" s="7"/>
      <c r="B57" s="7" t="s">
        <v>38</v>
      </c>
      <c r="C57" s="5"/>
      <c r="D57" s="5"/>
      <c r="E57" s="5">
        <f>E54+E55-E56</f>
        <v>5642042.922425</v>
      </c>
      <c r="F57" s="5">
        <f t="shared" ref="F57:I57" si="12">F54+F55-F56</f>
        <v>9349867.500675004</v>
      </c>
      <c r="G57" s="5">
        <f t="shared" si="12"/>
        <v>12725526.874124998</v>
      </c>
      <c r="H57" s="5">
        <f t="shared" si="12"/>
        <v>12681764.547237497</v>
      </c>
      <c r="I57" s="5">
        <f t="shared" si="12"/>
        <v>12638002.220349997</v>
      </c>
    </row>
    <row r="58" spans="1:9" x14ac:dyDescent="0.2">
      <c r="A58" s="7"/>
      <c r="B58" s="7"/>
      <c r="C58" s="5"/>
      <c r="D58" s="5"/>
      <c r="E58" s="5"/>
      <c r="F58" s="5"/>
      <c r="G58" s="5"/>
      <c r="H58" s="5"/>
      <c r="I58" s="5"/>
    </row>
    <row r="59" spans="1:9" x14ac:dyDescent="0.2">
      <c r="A59" s="7" t="s">
        <v>39</v>
      </c>
      <c r="B59" s="7"/>
      <c r="C59" s="5"/>
      <c r="D59" s="5"/>
      <c r="E59" s="5"/>
      <c r="F59" s="5"/>
      <c r="G59" s="5"/>
      <c r="H59" s="5"/>
      <c r="I59" s="5"/>
    </row>
    <row r="60" spans="1:9" ht="13.5" thickBot="1" x14ac:dyDescent="0.25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A61" s="7"/>
      <c r="B61" s="7" t="s">
        <v>38</v>
      </c>
      <c r="C61" s="5"/>
      <c r="D61" s="5"/>
      <c r="E61" s="5">
        <f>E57</f>
        <v>5642042.922425</v>
      </c>
      <c r="F61" s="5">
        <f t="shared" ref="F61:I61" si="13">F57</f>
        <v>9349867.500675004</v>
      </c>
      <c r="G61" s="5">
        <f t="shared" si="13"/>
        <v>12725526.874124998</v>
      </c>
      <c r="H61" s="5">
        <f t="shared" si="13"/>
        <v>12681764.547237497</v>
      </c>
      <c r="I61" s="5">
        <f t="shared" si="13"/>
        <v>12638002.220349997</v>
      </c>
    </row>
    <row r="62" spans="1:9" ht="15" x14ac:dyDescent="0.25">
      <c r="A62" s="7"/>
      <c r="B62" s="7" t="s">
        <v>28</v>
      </c>
      <c r="C62" s="5"/>
      <c r="D62" s="5">
        <f>D40</f>
        <v>-3490468.3333333335</v>
      </c>
      <c r="E62" s="5">
        <f t="shared" ref="E62:I62" si="14">E40</f>
        <v>-845747.8666666667</v>
      </c>
      <c r="F62" s="5">
        <f t="shared" si="14"/>
        <v>-2168108.1000000006</v>
      </c>
      <c r="G62" s="5">
        <f t="shared" si="14"/>
        <v>-2168108.0999999996</v>
      </c>
      <c r="H62" s="5">
        <f t="shared" si="14"/>
        <v>0</v>
      </c>
      <c r="I62" s="5">
        <f t="shared" si="14"/>
        <v>8672432.4000000004</v>
      </c>
    </row>
    <row r="63" spans="1:9" ht="13.5" thickBot="1" x14ac:dyDescent="0.25">
      <c r="A63" s="7"/>
      <c r="B63" s="7" t="s">
        <v>40</v>
      </c>
      <c r="C63" s="5"/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A64" s="7"/>
      <c r="B64" s="7" t="s">
        <v>41</v>
      </c>
      <c r="C64" s="5"/>
      <c r="D64" s="5">
        <f>SUM(D61:D63)</f>
        <v>-24784468.333333332</v>
      </c>
      <c r="E64" s="5">
        <f t="shared" ref="E64:I64" si="15">SUM(E61:E63)</f>
        <v>4796295.0557583328</v>
      </c>
      <c r="F64" s="5">
        <f t="shared" si="15"/>
        <v>7181759.4006750034</v>
      </c>
      <c r="G64" s="5">
        <f t="shared" si="15"/>
        <v>10557418.774124999</v>
      </c>
      <c r="H64" s="5">
        <f t="shared" si="15"/>
        <v>12681764.547237497</v>
      </c>
      <c r="I64" s="5">
        <f t="shared" si="15"/>
        <v>21310434.620349996</v>
      </c>
    </row>
    <row r="65" spans="1:9" x14ac:dyDescent="0.2">
      <c r="A65" s="7"/>
      <c r="B65" s="7"/>
      <c r="C65" s="5"/>
      <c r="D65" s="5"/>
      <c r="E65" s="5"/>
      <c r="F65" s="5"/>
      <c r="G65" s="5"/>
      <c r="H65" s="5"/>
      <c r="I65" s="5"/>
    </row>
    <row r="66" spans="1:9" x14ac:dyDescent="0.2">
      <c r="A66" s="7"/>
      <c r="B66" s="7" t="s">
        <v>42</v>
      </c>
      <c r="C66" s="5"/>
      <c r="D66" s="5">
        <f>D64/(1+$C14)^D60</f>
        <v>-24784468.333333332</v>
      </c>
      <c r="E66" s="5">
        <f t="shared" ref="E66:I66" si="16">E64/(1+$C14)^E60</f>
        <v>3996912.5464652777</v>
      </c>
      <c r="F66" s="5">
        <f t="shared" si="16"/>
        <v>4987332.9171354193</v>
      </c>
      <c r="G66" s="5">
        <f t="shared" si="16"/>
        <v>6109617.3461371521</v>
      </c>
      <c r="H66" s="5">
        <f t="shared" si="16"/>
        <v>6115820.0941538857</v>
      </c>
      <c r="I66" s="5">
        <f t="shared" si="16"/>
        <v>8564185.7238417882</v>
      </c>
    </row>
    <row r="67" spans="1:9" x14ac:dyDescent="0.2">
      <c r="A67" s="7"/>
      <c r="B67" s="7"/>
      <c r="C67" s="5"/>
      <c r="D67" s="5"/>
      <c r="E67" s="5"/>
      <c r="F67" s="5"/>
      <c r="G67" s="5"/>
      <c r="H67" s="5"/>
      <c r="I67" s="5"/>
    </row>
    <row r="68" spans="1:9" ht="13.5" thickBot="1" x14ac:dyDescent="0.25">
      <c r="A68" s="7"/>
      <c r="B68" s="7"/>
      <c r="C68" s="5"/>
      <c r="D68" s="5"/>
      <c r="E68" s="5"/>
      <c r="F68" s="5"/>
      <c r="G68" s="5"/>
      <c r="H68" s="5"/>
      <c r="I68" s="5"/>
    </row>
    <row r="69" spans="1:9" ht="13.5" thickTop="1" x14ac:dyDescent="0.2">
      <c r="A69" s="7"/>
      <c r="B69" s="33" t="s">
        <v>43</v>
      </c>
      <c r="C69" s="34"/>
      <c r="D69" s="183">
        <f>SUM(D66:I66)</f>
        <v>4989400.2944001919</v>
      </c>
      <c r="E69" s="35"/>
      <c r="F69" s="5"/>
      <c r="G69" s="5"/>
      <c r="H69" s="5"/>
      <c r="I69" s="5"/>
    </row>
    <row r="70" spans="1:9" ht="13.5" thickBot="1" x14ac:dyDescent="0.25">
      <c r="A70" s="7"/>
      <c r="B70" s="36" t="s">
        <v>44</v>
      </c>
      <c r="C70" s="23"/>
      <c r="D70" s="104">
        <f>IRR(D64:I64)</f>
        <v>0.26879413242049721</v>
      </c>
      <c r="E70" s="35"/>
      <c r="F70" s="5"/>
      <c r="G70" s="5"/>
      <c r="H70" s="5"/>
      <c r="I70" s="5"/>
    </row>
  </sheetData>
  <conditionalFormatting sqref="D69">
    <cfRule type="cellIs" dxfId="3" priority="1" operator="lessThan">
      <formula>0</formula>
    </cfRule>
  </conditionalFormatting>
  <pageMargins left="0.7" right="0.7" top="0.75" bottom="0.75" header="0.3" footer="0.3"/>
  <pageSetup scale="70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DA18-2CC7-4B28-96F5-1C8A7417B7ED}">
  <sheetPr codeName="Sheet5"/>
  <dimension ref="A1:R70"/>
  <sheetViews>
    <sheetView topLeftCell="A6" zoomScale="110" zoomScaleNormal="110" workbookViewId="0">
      <selection activeCell="C18" sqref="C18"/>
    </sheetView>
  </sheetViews>
  <sheetFormatPr defaultColWidth="9.140625" defaultRowHeight="12.75" x14ac:dyDescent="0.2"/>
  <cols>
    <col min="1" max="1" width="5.7109375" style="7" customWidth="1"/>
    <col min="2" max="2" width="33.5703125" style="7" bestFit="1" customWidth="1"/>
    <col min="3" max="3" width="12.28515625" style="5" bestFit="1" customWidth="1"/>
    <col min="4" max="4" width="16" style="5" customWidth="1"/>
    <col min="5" max="9" width="15.28515625" style="5" customWidth="1"/>
    <col min="10" max="16384" width="9.140625" style="5"/>
  </cols>
  <sheetData>
    <row r="1" spans="1:9" ht="15.75" x14ac:dyDescent="0.25">
      <c r="A1" s="2" t="s">
        <v>0</v>
      </c>
      <c r="B1" s="3"/>
      <c r="C1" s="4"/>
      <c r="G1" s="6"/>
    </row>
    <row r="2" spans="1:9" ht="13.5" thickBot="1" x14ac:dyDescent="0.25">
      <c r="A2" s="7" t="s">
        <v>1</v>
      </c>
    </row>
    <row r="3" spans="1:9" s="7" customFormat="1" ht="13.5" thickBot="1" x14ac:dyDescent="0.25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Forecast'!B37</f>
        <v>2780</v>
      </c>
      <c r="F6" s="160">
        <f>'Sales Forecast'!C37</f>
        <v>4170</v>
      </c>
      <c r="G6" s="160">
        <f>'Sales Forecast'!D37</f>
        <v>5560</v>
      </c>
      <c r="H6" s="160">
        <f>'Sales Forecast'!E37</f>
        <v>5560</v>
      </c>
      <c r="I6" s="160">
        <f>'Sales Forecast'!F37</f>
        <v>5560</v>
      </c>
    </row>
    <row r="7" spans="1:9" x14ac:dyDescent="0.2">
      <c r="A7" s="13"/>
      <c r="B7" s="14" t="s">
        <v>5</v>
      </c>
      <c r="C7" s="30"/>
      <c r="D7" s="15"/>
      <c r="E7" s="16">
        <f>Computations!B64</f>
        <v>16421094.75</v>
      </c>
      <c r="F7" s="16">
        <f>Computations!C64</f>
        <v>24448350.25</v>
      </c>
      <c r="G7" s="16">
        <f>Computations!D64</f>
        <v>32944434.550000001</v>
      </c>
      <c r="H7" s="16">
        <f>Computations!E64</f>
        <v>33006202.125</v>
      </c>
      <c r="I7" s="16">
        <f>Computations!F64</f>
        <v>33067969.699999999</v>
      </c>
    </row>
    <row r="8" spans="1:9" x14ac:dyDescent="0.2">
      <c r="A8" s="13"/>
      <c r="B8" s="14" t="s">
        <v>6</v>
      </c>
      <c r="C8" s="30"/>
      <c r="D8" s="15"/>
      <c r="E8" s="16" cm="1">
        <f t="array" ref="E8">FixedCosts_Total*1.3</f>
        <v>6014383.2580000004</v>
      </c>
      <c r="F8" s="16" cm="1">
        <f t="array" ref="F8">FixedCosts_Total*1.3</f>
        <v>6014383.2580000004</v>
      </c>
      <c r="G8" s="16">
        <f>Computations!D20*1.3</f>
        <v>5727481.5</v>
      </c>
      <c r="H8" s="16">
        <f>Computations!D20*1.3</f>
        <v>5727481.5</v>
      </c>
      <c r="I8" s="16">
        <f>Computations!D20*1.3</f>
        <v>5727481.5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 cm="1">
        <f t="array" ref="E10:E12">'Sales Forecast'!$B$3:$B$5</f>
        <v>450</v>
      </c>
      <c r="F10" s="16" cm="1">
        <f t="array" ref="F10:F12">'Sales Forecast'!$B$3:$B$5</f>
        <v>450</v>
      </c>
      <c r="G10" s="16" cm="1">
        <f t="array" ref="G10:G12">'Sales Forecast'!$B$3:$B$5</f>
        <v>450</v>
      </c>
      <c r="H10" s="16" cm="1">
        <f t="array" ref="H10:H12">'Sales Forecast'!$B$3:$B$5</f>
        <v>450</v>
      </c>
      <c r="I10" s="16" cm="1">
        <f t="array" ref="I10:I12">'Sales Forecast'!$B$3:$B$5</f>
        <v>450</v>
      </c>
    </row>
    <row r="11" spans="1:9" x14ac:dyDescent="0.2">
      <c r="A11" s="13"/>
      <c r="B11" s="17" t="s">
        <v>9</v>
      </c>
      <c r="C11" s="98"/>
      <c r="D11" s="18"/>
      <c r="E11" s="16">
        <v>850</v>
      </c>
      <c r="F11" s="16">
        <v>850</v>
      </c>
      <c r="G11" s="16">
        <v>850</v>
      </c>
      <c r="H11" s="16">
        <v>850</v>
      </c>
      <c r="I11" s="16">
        <v>850</v>
      </c>
    </row>
    <row r="12" spans="1:9" x14ac:dyDescent="0.2">
      <c r="A12" s="13"/>
      <c r="B12" s="17" t="s">
        <v>10</v>
      </c>
      <c r="C12" s="98"/>
      <c r="D12" s="18"/>
      <c r="E12" s="16">
        <v>900</v>
      </c>
      <c r="F12" s="16">
        <v>900</v>
      </c>
      <c r="G12" s="16">
        <v>900</v>
      </c>
      <c r="H12" s="16">
        <v>900</v>
      </c>
      <c r="I12" s="16">
        <v>900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135">
        <v>0.2</v>
      </c>
      <c r="D14" s="15"/>
      <c r="E14" s="96">
        <f>C14</f>
        <v>0.2</v>
      </c>
      <c r="F14" s="96">
        <f>C14</f>
        <v>0.2</v>
      </c>
      <c r="G14" s="96">
        <f>C14</f>
        <v>0.2</v>
      </c>
      <c r="H14" s="96">
        <f>C14</f>
        <v>0.2</v>
      </c>
      <c r="I14" s="96">
        <f>C14</f>
        <v>0.2</v>
      </c>
    </row>
    <row r="15" spans="1:9" x14ac:dyDescent="0.2">
      <c r="A15" s="13"/>
      <c r="B15" s="14" t="s">
        <v>13</v>
      </c>
      <c r="C15" s="15">
        <f>Computations!B20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18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18" ht="13.5" thickBot="1" x14ac:dyDescent="0.25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20" spans="1:18" x14ac:dyDescent="0.2">
      <c r="A20" s="7" t="s">
        <v>352</v>
      </c>
    </row>
    <row r="21" spans="1:18" x14ac:dyDescent="0.2">
      <c r="B21" s="7" t="s">
        <v>17</v>
      </c>
      <c r="C21" s="5">
        <f>C17</f>
        <v>21332999.739999998</v>
      </c>
    </row>
    <row r="22" spans="1:18" s="7" customFormat="1" ht="13.5" thickBot="1" x14ac:dyDescent="0.25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  <c r="N22" s="5"/>
      <c r="O22" s="5"/>
      <c r="P22" s="5"/>
      <c r="Q22" s="5"/>
      <c r="R22" s="5"/>
    </row>
    <row r="23" spans="1:18" x14ac:dyDescent="0.2">
      <c r="B23" s="26" t="s">
        <v>353</v>
      </c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18" x14ac:dyDescent="0.2">
      <c r="B24" s="26" t="s">
        <v>354</v>
      </c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18" x14ac:dyDescent="0.2">
      <c r="B25" s="184" t="s">
        <v>19</v>
      </c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7" spans="1:18" x14ac:dyDescent="0.2">
      <c r="A27" s="7" t="s">
        <v>20</v>
      </c>
    </row>
    <row r="28" spans="1:18" x14ac:dyDescent="0.2">
      <c r="B28" s="7" t="s">
        <v>21</v>
      </c>
      <c r="C28" s="123">
        <f>C18</f>
        <v>0</v>
      </c>
      <c r="D28" s="5">
        <f>+C17*$C$28</f>
        <v>0</v>
      </c>
      <c r="N28" s="7"/>
      <c r="O28" s="7"/>
      <c r="P28" s="7"/>
      <c r="Q28" s="7"/>
      <c r="R28" s="7"/>
    </row>
    <row r="29" spans="1:18" x14ac:dyDescent="0.2">
      <c r="B29" s="7" t="s">
        <v>312</v>
      </c>
      <c r="D29" s="28">
        <f>I25</f>
        <v>0</v>
      </c>
    </row>
    <row r="30" spans="1:18" x14ac:dyDescent="0.2">
      <c r="B30" s="7" t="s">
        <v>22</v>
      </c>
      <c r="D30" s="5">
        <f>+D28-D29</f>
        <v>0</v>
      </c>
    </row>
    <row r="31" spans="1:18" x14ac:dyDescent="0.2">
      <c r="B31" s="7" t="s">
        <v>23</v>
      </c>
      <c r="D31" s="28">
        <f>+D30*C13</f>
        <v>0</v>
      </c>
    </row>
    <row r="32" spans="1:18" x14ac:dyDescent="0.2">
      <c r="B32" s="7" t="s">
        <v>24</v>
      </c>
      <c r="D32" s="5">
        <f>+D28-D31</f>
        <v>0</v>
      </c>
    </row>
    <row r="34" spans="1:9" x14ac:dyDescent="0.2">
      <c r="A34" s="7" t="s">
        <v>25</v>
      </c>
    </row>
    <row r="35" spans="1:9" s="7" customFormat="1" ht="13.5" thickBot="1" x14ac:dyDescent="0.25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B36" s="7" t="s">
        <v>26</v>
      </c>
      <c r="D36" s="5">
        <f>C15</f>
        <v>3490468.3333333335</v>
      </c>
      <c r="E36" s="5">
        <f>$C$16*E44</f>
        <v>3978180</v>
      </c>
      <c r="F36" s="5">
        <f t="shared" ref="F36:H36" si="2">$C$16*F44</f>
        <v>5967270</v>
      </c>
      <c r="G36" s="5">
        <f t="shared" si="2"/>
        <v>7956360</v>
      </c>
      <c r="H36" s="5">
        <f t="shared" si="2"/>
        <v>7956360</v>
      </c>
      <c r="I36" s="5">
        <f>$C$16*I44</f>
        <v>7956360</v>
      </c>
    </row>
    <row r="37" spans="1:9" x14ac:dyDescent="0.2">
      <c r="B37" s="7" t="s">
        <v>27</v>
      </c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B38" s="7" t="s">
        <v>28</v>
      </c>
      <c r="D38" s="5">
        <f>0-D36</f>
        <v>-3490468.3333333335</v>
      </c>
      <c r="E38" s="5">
        <f>D36-E36</f>
        <v>-487711.66666666651</v>
      </c>
      <c r="F38" s="5">
        <f t="shared" ref="F38" si="3">E36-F36</f>
        <v>-1989090</v>
      </c>
      <c r="G38" s="5">
        <f>F36-G36</f>
        <v>-1989090</v>
      </c>
      <c r="H38" s="5">
        <f>G36-H36</f>
        <v>0</v>
      </c>
      <c r="I38" s="5">
        <f>H36-I36</f>
        <v>0</v>
      </c>
    </row>
    <row r="39" spans="1:9" ht="13.5" thickBot="1" x14ac:dyDescent="0.25">
      <c r="B39" s="7" t="s">
        <v>29</v>
      </c>
      <c r="D39" s="29"/>
      <c r="E39" s="29"/>
      <c r="F39" s="29"/>
      <c r="G39" s="29"/>
      <c r="H39" s="29"/>
      <c r="I39" s="29">
        <f>I36</f>
        <v>7956360</v>
      </c>
    </row>
    <row r="40" spans="1:9" x14ac:dyDescent="0.2">
      <c r="B40" s="7" t="s">
        <v>30</v>
      </c>
      <c r="D40" s="5">
        <f>D38+D39</f>
        <v>-3490468.3333333335</v>
      </c>
      <c r="E40" s="5">
        <f>E38+E39</f>
        <v>-487711.66666666651</v>
      </c>
      <c r="F40" s="5">
        <f t="shared" ref="F40:I40" si="4">F38+F39</f>
        <v>-1989090</v>
      </c>
      <c r="G40" s="5">
        <f t="shared" si="4"/>
        <v>-1989090</v>
      </c>
      <c r="H40" s="5">
        <f>H38+H39</f>
        <v>0</v>
      </c>
      <c r="I40" s="5">
        <f t="shared" si="4"/>
        <v>7956360</v>
      </c>
    </row>
    <row r="42" spans="1:9" x14ac:dyDescent="0.2">
      <c r="A42" s="7" t="s">
        <v>31</v>
      </c>
    </row>
    <row r="43" spans="1:9" s="7" customFormat="1" ht="13.5" thickBot="1" x14ac:dyDescent="0.25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B44" s="7" t="s">
        <v>32</v>
      </c>
      <c r="E44" s="161">
        <f>'Sales Forecast'!B40</f>
        <v>26521200</v>
      </c>
      <c r="F44" s="161">
        <f>'Sales Forecast'!C40</f>
        <v>39781800</v>
      </c>
      <c r="G44" s="161">
        <f>'Sales Forecast'!D40</f>
        <v>53042400</v>
      </c>
      <c r="H44" s="161">
        <f>'Sales Forecast'!E40</f>
        <v>53042400</v>
      </c>
      <c r="I44" s="161">
        <f>'Sales Forecast'!F40</f>
        <v>53042400</v>
      </c>
    </row>
    <row r="45" spans="1:9" x14ac:dyDescent="0.2">
      <c r="B45" s="7" t="s">
        <v>33</v>
      </c>
      <c r="E45" s="5">
        <f>E7</f>
        <v>16421094.75</v>
      </c>
      <c r="F45" s="5">
        <f t="shared" ref="F45:I45" si="5">F7</f>
        <v>24448350.25</v>
      </c>
      <c r="G45" s="5">
        <f t="shared" si="5"/>
        <v>32944434.550000001</v>
      </c>
      <c r="H45" s="5">
        <f t="shared" si="5"/>
        <v>33006202.125</v>
      </c>
      <c r="I45" s="5">
        <f t="shared" si="5"/>
        <v>33067969.699999999</v>
      </c>
    </row>
    <row r="46" spans="1:9" x14ac:dyDescent="0.2">
      <c r="B46" s="7" t="s">
        <v>34</v>
      </c>
      <c r="E46" s="138">
        <f>E8</f>
        <v>6014383.2580000004</v>
      </c>
      <c r="F46" s="138">
        <f t="shared" ref="F46:I46" si="6">F8</f>
        <v>6014383.2580000004</v>
      </c>
      <c r="G46" s="138">
        <f t="shared" si="6"/>
        <v>5727481.5</v>
      </c>
      <c r="H46" s="138">
        <f t="shared" si="6"/>
        <v>5727481.5</v>
      </c>
      <c r="I46" s="138">
        <f t="shared" si="6"/>
        <v>5727481.5</v>
      </c>
    </row>
    <row r="47" spans="1:9" ht="13.5" thickBot="1" x14ac:dyDescent="0.25">
      <c r="B47" s="7" t="s">
        <v>18</v>
      </c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B48" s="31" t="s">
        <v>35</v>
      </c>
      <c r="E48" s="32">
        <f t="shared" ref="E48:I48" si="7">+E44-E45-E46-E47</f>
        <v>-180877.95600000024</v>
      </c>
      <c r="F48" s="32">
        <f t="shared" si="7"/>
        <v>5052466.5439999988</v>
      </c>
      <c r="G48" s="32">
        <f t="shared" si="7"/>
        <v>10103884.002</v>
      </c>
      <c r="H48" s="32">
        <f t="shared" si="7"/>
        <v>10042116.427000001</v>
      </c>
      <c r="I48" s="32">
        <f t="shared" si="7"/>
        <v>9980348.8520000018</v>
      </c>
    </row>
    <row r="49" spans="1:9" ht="13.5" thickBot="1" x14ac:dyDescent="0.25">
      <c r="B49" s="7" t="s">
        <v>36</v>
      </c>
      <c r="E49" s="29">
        <f>E48*$C$13</f>
        <v>-63307.284600000079</v>
      </c>
      <c r="F49" s="29">
        <f t="shared" ref="F49:I49" si="8">F48*$C$13</f>
        <v>1768363.2903999996</v>
      </c>
      <c r="G49" s="29">
        <f t="shared" si="8"/>
        <v>3536359.4007000001</v>
      </c>
      <c r="H49" s="29">
        <f t="shared" si="8"/>
        <v>3514740.74945</v>
      </c>
      <c r="I49" s="29">
        <f t="shared" si="8"/>
        <v>3493122.0982000004</v>
      </c>
    </row>
    <row r="50" spans="1:9" x14ac:dyDescent="0.2">
      <c r="B50" s="7" t="s">
        <v>37</v>
      </c>
      <c r="E50" s="5">
        <f>E48-E49</f>
        <v>-117570.67140000017</v>
      </c>
      <c r="F50" s="5">
        <f t="shared" ref="F50:I50" si="9">F48-F49</f>
        <v>3284103.2535999995</v>
      </c>
      <c r="G50" s="5">
        <f t="shared" si="9"/>
        <v>6567524.6013000002</v>
      </c>
      <c r="H50" s="5">
        <f t="shared" si="9"/>
        <v>6527375.6775500011</v>
      </c>
      <c r="I50" s="5">
        <f t="shared" si="9"/>
        <v>6487226.753800001</v>
      </c>
    </row>
    <row r="52" spans="1:9" x14ac:dyDescent="0.2">
      <c r="A52" s="7" t="s">
        <v>38</v>
      </c>
    </row>
    <row r="53" spans="1:9" s="7" customFormat="1" ht="13.5" thickBot="1" x14ac:dyDescent="0.25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B54" s="31" t="s">
        <v>35</v>
      </c>
      <c r="E54" s="32">
        <f>E48</f>
        <v>-180877.95600000024</v>
      </c>
      <c r="F54" s="32">
        <f t="shared" ref="F54:I54" si="10">F48</f>
        <v>5052466.5439999988</v>
      </c>
      <c r="G54" s="32">
        <f t="shared" si="10"/>
        <v>10103884.002</v>
      </c>
      <c r="H54" s="32">
        <f t="shared" si="10"/>
        <v>10042116.427000001</v>
      </c>
      <c r="I54" s="32">
        <f t="shared" si="10"/>
        <v>9980348.8520000018</v>
      </c>
    </row>
    <row r="55" spans="1:9" x14ac:dyDescent="0.2">
      <c r="B55" s="7" t="s">
        <v>18</v>
      </c>
      <c r="E55" s="5">
        <f>E47</f>
        <v>4266599.9479999999</v>
      </c>
      <c r="F55" s="5">
        <f t="shared" ref="F55:I55" si="11">F47</f>
        <v>4266599.9479999999</v>
      </c>
      <c r="G55" s="5">
        <f t="shared" si="11"/>
        <v>4266599.9479999999</v>
      </c>
      <c r="H55" s="5">
        <f t="shared" si="11"/>
        <v>4266599.9479999999</v>
      </c>
      <c r="I55" s="5">
        <f t="shared" si="11"/>
        <v>4266599.9479999999</v>
      </c>
    </row>
    <row r="56" spans="1:9" ht="13.5" thickBot="1" x14ac:dyDescent="0.25">
      <c r="B56" s="7" t="s">
        <v>36</v>
      </c>
      <c r="E56" s="29">
        <f>E49</f>
        <v>-63307.284600000079</v>
      </c>
      <c r="F56" s="29">
        <f t="shared" ref="F56:I56" si="12">F49</f>
        <v>1768363.2903999996</v>
      </c>
      <c r="G56" s="29">
        <f t="shared" si="12"/>
        <v>3536359.4007000001</v>
      </c>
      <c r="H56" s="29">
        <f t="shared" si="12"/>
        <v>3514740.74945</v>
      </c>
      <c r="I56" s="29">
        <f t="shared" si="12"/>
        <v>3493122.0982000004</v>
      </c>
    </row>
    <row r="57" spans="1:9" x14ac:dyDescent="0.2">
      <c r="B57" s="7" t="s">
        <v>38</v>
      </c>
      <c r="E57" s="5">
        <f>E54+E55-E56</f>
        <v>4149029.2765999995</v>
      </c>
      <c r="F57" s="5">
        <f t="shared" ref="F57:I57" si="13">F54+F55-F56</f>
        <v>7550703.2015999993</v>
      </c>
      <c r="G57" s="5">
        <f t="shared" si="13"/>
        <v>10834124.5493</v>
      </c>
      <c r="H57" s="5">
        <f t="shared" si="13"/>
        <v>10793975.62555</v>
      </c>
      <c r="I57" s="5">
        <f t="shared" si="13"/>
        <v>10753826.7018</v>
      </c>
    </row>
    <row r="59" spans="1:9" ht="13.5" customHeight="1" x14ac:dyDescent="0.2">
      <c r="A59" s="7" t="s">
        <v>39</v>
      </c>
    </row>
    <row r="60" spans="1:9" s="7" customFormat="1" ht="13.5" thickBot="1" x14ac:dyDescent="0.25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B61" s="7" t="s">
        <v>38</v>
      </c>
      <c r="E61" s="5">
        <f>E57</f>
        <v>4149029.2765999995</v>
      </c>
      <c r="F61" s="5">
        <f t="shared" ref="F61:I61" si="14">F57</f>
        <v>7550703.2015999993</v>
      </c>
      <c r="G61" s="5">
        <f t="shared" si="14"/>
        <v>10834124.5493</v>
      </c>
      <c r="H61" s="5">
        <f t="shared" si="14"/>
        <v>10793975.62555</v>
      </c>
      <c r="I61" s="5">
        <f t="shared" si="14"/>
        <v>10753826.7018</v>
      </c>
    </row>
    <row r="62" spans="1:9" ht="15" x14ac:dyDescent="0.25">
      <c r="B62" s="7" t="s">
        <v>28</v>
      </c>
      <c r="D62" s="5">
        <f>D40</f>
        <v>-3490468.3333333335</v>
      </c>
      <c r="E62" s="5">
        <f t="shared" ref="E62:I62" si="15">E40</f>
        <v>-487711.66666666651</v>
      </c>
      <c r="F62" s="5">
        <f t="shared" si="15"/>
        <v>-1989090</v>
      </c>
      <c r="G62" s="5">
        <f t="shared" si="15"/>
        <v>-1989090</v>
      </c>
      <c r="H62" s="5">
        <f t="shared" si="15"/>
        <v>0</v>
      </c>
      <c r="I62" s="5">
        <f t="shared" si="15"/>
        <v>7956360</v>
      </c>
    </row>
    <row r="63" spans="1:9" ht="13.5" thickBot="1" x14ac:dyDescent="0.25">
      <c r="B63" s="7" t="s">
        <v>40</v>
      </c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B64" s="7" t="s">
        <v>41</v>
      </c>
      <c r="D64" s="5">
        <f>SUM(D61:D63)</f>
        <v>-24784468.333333332</v>
      </c>
      <c r="E64" s="5">
        <f t="shared" ref="E64:I64" si="16">SUM(E61:E63)</f>
        <v>3661317.609933333</v>
      </c>
      <c r="F64" s="5">
        <f t="shared" si="16"/>
        <v>5561613.2015999993</v>
      </c>
      <c r="G64" s="5">
        <f t="shared" si="16"/>
        <v>8845034.5493000001</v>
      </c>
      <c r="H64" s="5">
        <f t="shared" si="16"/>
        <v>10793975.62555</v>
      </c>
      <c r="I64" s="5">
        <f t="shared" si="16"/>
        <v>18710186.7018</v>
      </c>
    </row>
    <row r="66" spans="2:9" x14ac:dyDescent="0.2">
      <c r="B66" s="7" t="s">
        <v>42</v>
      </c>
      <c r="D66" s="5">
        <f>D64/(1+$C14)^D60</f>
        <v>-24784468.333333332</v>
      </c>
      <c r="E66" s="5">
        <f t="shared" ref="E66:I66" si="17">E64/(1+$C14)^E60</f>
        <v>3051098.0082777776</v>
      </c>
      <c r="F66" s="5">
        <f t="shared" si="17"/>
        <v>3862231.3899999997</v>
      </c>
      <c r="G66" s="5">
        <f t="shared" si="17"/>
        <v>5118654.2530671293</v>
      </c>
      <c r="H66" s="5">
        <f t="shared" si="17"/>
        <v>5205428.0601610728</v>
      </c>
      <c r="I66" s="5">
        <f t="shared" si="17"/>
        <v>7519204.4036940588</v>
      </c>
    </row>
    <row r="69" spans="2:9" ht="13.5" thickTop="1" x14ac:dyDescent="0.2">
      <c r="B69" s="33" t="s">
        <v>43</v>
      </c>
      <c r="C69" s="34"/>
      <c r="D69" s="183">
        <f>SUM(D66:I66)</f>
        <v>-27852.218133294024</v>
      </c>
      <c r="E69" s="35"/>
    </row>
    <row r="70" spans="2:9" ht="13.5" thickBot="1" x14ac:dyDescent="0.25">
      <c r="B70" s="36" t="s">
        <v>44</v>
      </c>
      <c r="C70" s="23"/>
      <c r="D70" s="104">
        <f>IRR(D64:I64)</f>
        <v>0.19960501940225717</v>
      </c>
      <c r="E70" s="35"/>
    </row>
  </sheetData>
  <conditionalFormatting sqref="D69">
    <cfRule type="cellIs" dxfId="2" priority="1" operator="lessThan">
      <formula>0</formula>
    </cfRule>
  </conditionalFormatting>
  <printOptions horizontalCentered="1" gridLines="1"/>
  <pageMargins left="0.54" right="0.36" top="1" bottom="1" header="0.5" footer="0.5"/>
  <pageSetup scale="67" fitToHeight="2" orientation="portrait" horizontalDpi="4294967292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2433-9D5B-4015-9766-4AC558BAE63C}">
  <sheetPr codeName="Sheet6"/>
  <dimension ref="A1:I70"/>
  <sheetViews>
    <sheetView topLeftCell="A6" zoomScale="110" zoomScaleNormal="110" workbookViewId="0">
      <selection activeCell="C18" sqref="C18"/>
    </sheetView>
  </sheetViews>
  <sheetFormatPr defaultRowHeight="12.75" x14ac:dyDescent="0.2"/>
  <cols>
    <col min="1" max="1" width="5.7109375" customWidth="1"/>
    <col min="2" max="2" width="35.7109375" bestFit="1" customWidth="1"/>
    <col min="3" max="3" width="12.28515625" bestFit="1" customWidth="1"/>
    <col min="4" max="4" width="12.5703125" bestFit="1" customWidth="1"/>
    <col min="5" max="9" width="12.85546875" bestFit="1" customWidth="1"/>
  </cols>
  <sheetData>
    <row r="1" spans="1:9" ht="15.75" x14ac:dyDescent="0.25">
      <c r="A1" s="2" t="s">
        <v>0</v>
      </c>
      <c r="B1" s="3"/>
      <c r="C1" s="4"/>
      <c r="D1" s="5"/>
      <c r="E1" s="5"/>
      <c r="F1" s="5"/>
      <c r="G1" s="6"/>
      <c r="H1" s="5"/>
      <c r="I1" s="5"/>
    </row>
    <row r="2" spans="1:9" ht="13.5" thickBot="1" x14ac:dyDescent="0.25">
      <c r="A2" s="7" t="s">
        <v>1</v>
      </c>
      <c r="B2" s="7"/>
      <c r="C2" s="5"/>
      <c r="D2" s="5"/>
      <c r="E2" s="5"/>
      <c r="F2" s="5"/>
      <c r="G2" s="5"/>
      <c r="H2" s="5"/>
      <c r="I2" s="5"/>
    </row>
    <row r="3" spans="1:9" ht="13.5" thickBot="1" x14ac:dyDescent="0.25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4" spans="1:9" ht="13.5" thickBot="1" x14ac:dyDescent="0.25">
      <c r="A4" s="7"/>
      <c r="B4" s="7"/>
      <c r="C4" s="5"/>
      <c r="D4" s="5"/>
      <c r="E4" s="5"/>
      <c r="F4" s="5"/>
      <c r="G4" s="5"/>
      <c r="H4" s="5"/>
      <c r="I4" s="5"/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Forecast'!B37</f>
        <v>2780</v>
      </c>
      <c r="F6" s="160">
        <f>'Sales Forecast'!C37</f>
        <v>4170</v>
      </c>
      <c r="G6" s="160">
        <f>'Sales Forecast'!D37</f>
        <v>5560</v>
      </c>
      <c r="H6" s="160">
        <f>'Sales Forecast'!E37</f>
        <v>5560</v>
      </c>
      <c r="I6" s="160">
        <f>'Sales Forecast'!F37</f>
        <v>5560</v>
      </c>
    </row>
    <row r="7" spans="1:9" x14ac:dyDescent="0.2">
      <c r="A7" s="13"/>
      <c r="B7" s="14" t="s">
        <v>5</v>
      </c>
      <c r="C7" s="30"/>
      <c r="D7" s="15"/>
      <c r="E7" s="16">
        <f>Computations!B64*1.05</f>
        <v>17242149.487500001</v>
      </c>
      <c r="F7" s="16">
        <f>Computations!C64*1.05</f>
        <v>25670767.762499999</v>
      </c>
      <c r="G7" s="16">
        <f>Computations!D64*1.05</f>
        <v>34591656.277500004</v>
      </c>
      <c r="H7" s="16">
        <f>Computations!E64*1.05</f>
        <v>34656512.231250003</v>
      </c>
      <c r="I7" s="16">
        <f>Computations!F64*1.05</f>
        <v>34721368.185000002</v>
      </c>
    </row>
    <row r="8" spans="1:9" x14ac:dyDescent="0.2">
      <c r="A8" s="13"/>
      <c r="B8" s="14" t="s">
        <v>6</v>
      </c>
      <c r="C8" s="30"/>
      <c r="D8" s="15"/>
      <c r="E8" s="16">
        <f>'Capital Budgeting'!E8</f>
        <v>4626448.66</v>
      </c>
      <c r="F8" s="16">
        <f>'Capital Budgeting'!F8</f>
        <v>4626448.66</v>
      </c>
      <c r="G8" s="16">
        <f>'Capital Budgeting'!G8</f>
        <v>4405755</v>
      </c>
      <c r="H8" s="16">
        <f>'Capital Budgeting'!H8</f>
        <v>4405755</v>
      </c>
      <c r="I8" s="16">
        <f>'Capital Budgeting'!I8</f>
        <v>4405755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 cm="1">
        <f t="array" ref="E10:E12">'Sales Forecast'!$B$3:$B$5</f>
        <v>450</v>
      </c>
      <c r="F10" s="16" cm="1">
        <f t="array" ref="F10:F12">'Sales Forecast'!$B$3:$B$5</f>
        <v>450</v>
      </c>
      <c r="G10" s="16" cm="1">
        <f t="array" ref="G10:G12">'Sales Forecast'!$B$3:$B$5</f>
        <v>450</v>
      </c>
      <c r="H10" s="16" cm="1">
        <f t="array" ref="H10:H12">'Sales Forecast'!$B$3:$B$5</f>
        <v>450</v>
      </c>
      <c r="I10" s="16" cm="1">
        <f t="array" ref="I10:I12">'Sales Forecast'!$B$3:$B$5</f>
        <v>450</v>
      </c>
    </row>
    <row r="11" spans="1:9" x14ac:dyDescent="0.2">
      <c r="A11" s="13"/>
      <c r="B11" s="17" t="s">
        <v>9</v>
      </c>
      <c r="C11" s="98"/>
      <c r="D11" s="18"/>
      <c r="E11" s="16">
        <v>850</v>
      </c>
      <c r="F11" s="16">
        <v>850</v>
      </c>
      <c r="G11" s="16">
        <v>850</v>
      </c>
      <c r="H11" s="16">
        <v>850</v>
      </c>
      <c r="I11" s="16">
        <v>850</v>
      </c>
    </row>
    <row r="12" spans="1:9" x14ac:dyDescent="0.2">
      <c r="A12" s="13"/>
      <c r="B12" s="17" t="s">
        <v>10</v>
      </c>
      <c r="C12" s="98"/>
      <c r="D12" s="18"/>
      <c r="E12" s="16">
        <v>900</v>
      </c>
      <c r="F12" s="16">
        <v>900</v>
      </c>
      <c r="G12" s="16">
        <v>900</v>
      </c>
      <c r="H12" s="16">
        <v>900</v>
      </c>
      <c r="I12" s="16">
        <v>900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135">
        <v>0.2</v>
      </c>
      <c r="D14" s="15"/>
      <c r="E14" s="96">
        <f>C14</f>
        <v>0.2</v>
      </c>
      <c r="F14" s="96">
        <f>C14</f>
        <v>0.2</v>
      </c>
      <c r="G14" s="96">
        <f>C14</f>
        <v>0.2</v>
      </c>
      <c r="H14" s="96">
        <f>C14</f>
        <v>0.2</v>
      </c>
      <c r="I14" s="96">
        <f>C14</f>
        <v>0.2</v>
      </c>
    </row>
    <row r="15" spans="1:9" x14ac:dyDescent="0.2">
      <c r="A15" s="13"/>
      <c r="B15" s="14" t="s">
        <v>13</v>
      </c>
      <c r="C15" s="15">
        <f>'Capital Budgeting'!C15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9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9" ht="13.5" thickBot="1" x14ac:dyDescent="0.25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19" spans="1:9" x14ac:dyDescent="0.2">
      <c r="A19" s="7"/>
      <c r="B19" s="7"/>
      <c r="C19" s="5"/>
      <c r="D19" s="5"/>
      <c r="E19" s="5"/>
      <c r="F19" s="5"/>
      <c r="G19" s="5"/>
      <c r="H19" s="5"/>
      <c r="I19" s="5"/>
    </row>
    <row r="20" spans="1:9" x14ac:dyDescent="0.2">
      <c r="A20" s="7" t="s">
        <v>352</v>
      </c>
      <c r="B20" s="7"/>
      <c r="C20" s="5"/>
      <c r="D20" s="5"/>
      <c r="E20" s="5"/>
      <c r="F20" s="5"/>
      <c r="G20" s="5"/>
      <c r="H20" s="5"/>
      <c r="I20" s="5"/>
    </row>
    <row r="21" spans="1:9" x14ac:dyDescent="0.2">
      <c r="A21" s="7"/>
      <c r="B21" s="7" t="s">
        <v>17</v>
      </c>
      <c r="C21" s="5">
        <f>C17</f>
        <v>21332999.739999998</v>
      </c>
      <c r="D21" s="5"/>
      <c r="E21" s="5"/>
      <c r="F21" s="5"/>
      <c r="G21" s="5"/>
      <c r="H21" s="5"/>
      <c r="I21" s="5"/>
    </row>
    <row r="22" spans="1:9" ht="13.5" thickBot="1" x14ac:dyDescent="0.25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</row>
    <row r="23" spans="1:9" x14ac:dyDescent="0.2">
      <c r="A23" s="7"/>
      <c r="B23" s="26" t="s">
        <v>353</v>
      </c>
      <c r="C23" s="5"/>
      <c r="D23" s="5"/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9" x14ac:dyDescent="0.2">
      <c r="A24" s="7"/>
      <c r="B24" s="26" t="s">
        <v>354</v>
      </c>
      <c r="C24" s="5"/>
      <c r="D24" s="5"/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9" x14ac:dyDescent="0.2">
      <c r="A25" s="7"/>
      <c r="B25" s="184" t="s">
        <v>19</v>
      </c>
      <c r="C25" s="5"/>
      <c r="D25" s="5"/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6" spans="1:9" x14ac:dyDescent="0.2">
      <c r="A26" s="7"/>
      <c r="B26" s="7"/>
      <c r="C26" s="5"/>
      <c r="D26" s="5"/>
      <c r="E26" s="5"/>
      <c r="F26" s="5"/>
      <c r="G26" s="5"/>
      <c r="H26" s="5"/>
      <c r="I26" s="5"/>
    </row>
    <row r="27" spans="1:9" x14ac:dyDescent="0.2">
      <c r="A27" s="7" t="s">
        <v>20</v>
      </c>
      <c r="B27" s="7"/>
      <c r="C27" s="5"/>
      <c r="D27" s="5"/>
      <c r="E27" s="5"/>
      <c r="F27" s="5"/>
      <c r="G27" s="5"/>
      <c r="H27" s="5"/>
      <c r="I27" s="5"/>
    </row>
    <row r="28" spans="1:9" x14ac:dyDescent="0.2">
      <c r="A28" s="7"/>
      <c r="B28" s="7" t="s">
        <v>21</v>
      </c>
      <c r="C28" s="123">
        <f>C18</f>
        <v>0</v>
      </c>
      <c r="D28" s="5">
        <f>+C17*$C$28</f>
        <v>0</v>
      </c>
      <c r="E28" s="5"/>
      <c r="F28" s="5"/>
      <c r="G28" s="5"/>
      <c r="H28" s="5"/>
      <c r="I28" s="5"/>
    </row>
    <row r="29" spans="1:9" x14ac:dyDescent="0.2">
      <c r="A29" s="7"/>
      <c r="B29" s="7" t="s">
        <v>312</v>
      </c>
      <c r="C29" s="5"/>
      <c r="D29" s="28">
        <f>I25</f>
        <v>0</v>
      </c>
      <c r="E29" s="5"/>
      <c r="F29" s="5"/>
      <c r="G29" s="5"/>
      <c r="H29" s="5"/>
      <c r="I29" s="5"/>
    </row>
    <row r="30" spans="1:9" x14ac:dyDescent="0.2">
      <c r="A30" s="7"/>
      <c r="B30" s="7" t="s">
        <v>22</v>
      </c>
      <c r="C30" s="5"/>
      <c r="D30" s="5">
        <f>+D28-D29</f>
        <v>0</v>
      </c>
      <c r="E30" s="5"/>
      <c r="F30" s="5"/>
      <c r="G30" s="5"/>
      <c r="H30" s="5"/>
      <c r="I30" s="5"/>
    </row>
    <row r="31" spans="1:9" x14ac:dyDescent="0.2">
      <c r="A31" s="7"/>
      <c r="B31" s="7" t="s">
        <v>23</v>
      </c>
      <c r="C31" s="5"/>
      <c r="D31" s="28">
        <f>+D30*C13</f>
        <v>0</v>
      </c>
      <c r="E31" s="5"/>
      <c r="F31" s="5"/>
      <c r="G31" s="5"/>
      <c r="H31" s="5"/>
      <c r="I31" s="5"/>
    </row>
    <row r="32" spans="1:9" x14ac:dyDescent="0.2">
      <c r="A32" s="7"/>
      <c r="B32" s="7" t="s">
        <v>24</v>
      </c>
      <c r="C32" s="5"/>
      <c r="D32" s="5">
        <f>+D28-D31</f>
        <v>0</v>
      </c>
      <c r="E32" s="5"/>
      <c r="F32" s="5"/>
      <c r="G32" s="5"/>
      <c r="H32" s="5"/>
      <c r="I32" s="5"/>
    </row>
    <row r="33" spans="1:9" x14ac:dyDescent="0.2">
      <c r="A33" s="7"/>
      <c r="B33" s="7"/>
      <c r="C33" s="5"/>
      <c r="D33" s="5"/>
      <c r="E33" s="5"/>
      <c r="F33" s="5"/>
      <c r="G33" s="5"/>
      <c r="H33" s="5"/>
      <c r="I33" s="5"/>
    </row>
    <row r="34" spans="1:9" x14ac:dyDescent="0.2">
      <c r="A34" s="7" t="s">
        <v>25</v>
      </c>
      <c r="B34" s="7"/>
      <c r="C34" s="5"/>
      <c r="D34" s="5"/>
      <c r="E34" s="5"/>
      <c r="F34" s="5"/>
      <c r="G34" s="5"/>
      <c r="H34" s="5"/>
      <c r="I34" s="5"/>
    </row>
    <row r="35" spans="1:9" ht="13.5" thickBot="1" x14ac:dyDescent="0.25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A36" s="7"/>
      <c r="B36" s="7" t="s">
        <v>26</v>
      </c>
      <c r="C36" s="5"/>
      <c r="D36" s="5">
        <f>C15</f>
        <v>3490468.3333333335</v>
      </c>
      <c r="E36" s="5">
        <f>$C$16*E44</f>
        <v>3978180</v>
      </c>
      <c r="F36" s="5">
        <f t="shared" ref="F36:I36" si="2">$C$16*F44</f>
        <v>5967270</v>
      </c>
      <c r="G36" s="5">
        <f t="shared" si="2"/>
        <v>7956360</v>
      </c>
      <c r="H36" s="5">
        <f t="shared" si="2"/>
        <v>7956360</v>
      </c>
      <c r="I36" s="5">
        <f t="shared" si="2"/>
        <v>7956360</v>
      </c>
    </row>
    <row r="37" spans="1:9" x14ac:dyDescent="0.2">
      <c r="A37" s="7"/>
      <c r="B37" s="7" t="s">
        <v>27</v>
      </c>
      <c r="C37" s="5"/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A38" s="7"/>
      <c r="B38" s="7" t="s">
        <v>28</v>
      </c>
      <c r="C38" s="5"/>
      <c r="D38" s="5">
        <f>0-D36</f>
        <v>-3490468.3333333335</v>
      </c>
      <c r="E38" s="5">
        <f>D36-E36</f>
        <v>-487711.66666666651</v>
      </c>
      <c r="F38" s="5">
        <f t="shared" ref="F38" si="3">E36-F36</f>
        <v>-1989090</v>
      </c>
      <c r="G38" s="5">
        <f>F36-G36</f>
        <v>-1989090</v>
      </c>
      <c r="H38" s="5">
        <f>G36-H36</f>
        <v>0</v>
      </c>
      <c r="I38" s="5">
        <f>H36-I36</f>
        <v>0</v>
      </c>
    </row>
    <row r="39" spans="1:9" ht="13.5" thickBot="1" x14ac:dyDescent="0.25">
      <c r="A39" s="7"/>
      <c r="B39" s="7" t="s">
        <v>29</v>
      </c>
      <c r="C39" s="5"/>
      <c r="D39" s="29"/>
      <c r="E39" s="29"/>
      <c r="F39" s="29"/>
      <c r="G39" s="29"/>
      <c r="H39" s="29"/>
      <c r="I39" s="29">
        <f>I36</f>
        <v>7956360</v>
      </c>
    </row>
    <row r="40" spans="1:9" x14ac:dyDescent="0.2">
      <c r="A40" s="7"/>
      <c r="B40" s="7" t="s">
        <v>30</v>
      </c>
      <c r="C40" s="5"/>
      <c r="D40" s="5">
        <f>D38+D39</f>
        <v>-3490468.3333333335</v>
      </c>
      <c r="E40" s="5">
        <f t="shared" ref="E40:I40" si="4">E38+E39</f>
        <v>-487711.66666666651</v>
      </c>
      <c r="F40" s="5">
        <f t="shared" si="4"/>
        <v>-1989090</v>
      </c>
      <c r="G40" s="5">
        <f t="shared" si="4"/>
        <v>-1989090</v>
      </c>
      <c r="H40" s="5">
        <f>H38+H39</f>
        <v>0</v>
      </c>
      <c r="I40" s="5">
        <f t="shared" si="4"/>
        <v>7956360</v>
      </c>
    </row>
    <row r="41" spans="1:9" x14ac:dyDescent="0.2">
      <c r="A41" s="7"/>
      <c r="B41" s="7"/>
      <c r="C41" s="5"/>
      <c r="D41" s="5"/>
      <c r="E41" s="5"/>
      <c r="F41" s="5"/>
      <c r="G41" s="5"/>
      <c r="H41" s="5"/>
      <c r="I41" s="5"/>
    </row>
    <row r="42" spans="1:9" x14ac:dyDescent="0.2">
      <c r="A42" s="7" t="s">
        <v>31</v>
      </c>
      <c r="B42" s="7"/>
      <c r="C42" s="5"/>
      <c r="D42" s="5"/>
      <c r="E42" s="5"/>
      <c r="F42" s="5"/>
      <c r="G42" s="5"/>
      <c r="H42" s="5"/>
      <c r="I42" s="5"/>
    </row>
    <row r="43" spans="1:9" ht="13.5" thickBot="1" x14ac:dyDescent="0.25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A44" s="7"/>
      <c r="B44" s="7" t="s">
        <v>32</v>
      </c>
      <c r="C44" s="5"/>
      <c r="D44" s="5"/>
      <c r="E44" s="161">
        <f>'Sales Forecast'!B40</f>
        <v>26521200</v>
      </c>
      <c r="F44" s="161">
        <f>'Sales Forecast'!C40</f>
        <v>39781800</v>
      </c>
      <c r="G44" s="161">
        <f>'Sales Forecast'!D40</f>
        <v>53042400</v>
      </c>
      <c r="H44" s="161">
        <f>'Sales Forecast'!E40</f>
        <v>53042400</v>
      </c>
      <c r="I44" s="161">
        <f>'Sales Forecast'!F40</f>
        <v>53042400</v>
      </c>
    </row>
    <row r="45" spans="1:9" x14ac:dyDescent="0.2">
      <c r="A45" s="7"/>
      <c r="B45" s="7" t="s">
        <v>33</v>
      </c>
      <c r="C45" s="5"/>
      <c r="D45" s="5"/>
      <c r="E45" s="5">
        <f>E7</f>
        <v>17242149.487500001</v>
      </c>
      <c r="F45" s="5">
        <f t="shared" ref="F45:I45" si="5">F7</f>
        <v>25670767.762499999</v>
      </c>
      <c r="G45" s="5">
        <f t="shared" si="5"/>
        <v>34591656.277500004</v>
      </c>
      <c r="H45" s="5">
        <f t="shared" si="5"/>
        <v>34656512.231250003</v>
      </c>
      <c r="I45" s="5">
        <f t="shared" si="5"/>
        <v>34721368.185000002</v>
      </c>
    </row>
    <row r="46" spans="1:9" x14ac:dyDescent="0.2">
      <c r="A46" s="7"/>
      <c r="B46" s="7" t="s">
        <v>34</v>
      </c>
      <c r="C46" s="5"/>
      <c r="D46" s="5"/>
      <c r="E46" s="138" cm="1">
        <f t="array" ref="E46">FixedCosts_Total</f>
        <v>4626448.66</v>
      </c>
      <c r="F46" s="138" cm="1">
        <f t="array" ref="F46">FixedCosts_Total</f>
        <v>4626448.66</v>
      </c>
      <c r="G46" s="138" cm="1">
        <f t="array" ref="G46">FixedCosts_Total</f>
        <v>4626448.66</v>
      </c>
      <c r="H46" s="138" cm="1">
        <f t="array" ref="H46">FixedCosts_Total</f>
        <v>4626448.66</v>
      </c>
      <c r="I46" s="138" cm="1">
        <f t="array" ref="I46">FixedCosts_Total</f>
        <v>4626448.66</v>
      </c>
    </row>
    <row r="47" spans="1:9" ht="13.5" thickBot="1" x14ac:dyDescent="0.25">
      <c r="A47" s="7"/>
      <c r="B47" s="7" t="s">
        <v>18</v>
      </c>
      <c r="C47" s="5"/>
      <c r="D47" s="5"/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A48" s="7"/>
      <c r="B48" s="31" t="s">
        <v>35</v>
      </c>
      <c r="C48" s="5"/>
      <c r="D48" s="5"/>
      <c r="E48" s="32">
        <f t="shared" ref="E48:I48" si="6">+E44-E45-E46-E47</f>
        <v>386001.90449999925</v>
      </c>
      <c r="F48" s="32">
        <f t="shared" si="6"/>
        <v>5217983.6295000007</v>
      </c>
      <c r="G48" s="32">
        <f t="shared" si="6"/>
        <v>9557695.1144999973</v>
      </c>
      <c r="H48" s="32">
        <f t="shared" si="6"/>
        <v>9492839.1607499979</v>
      </c>
      <c r="I48" s="32">
        <f t="shared" si="6"/>
        <v>9427983.2069999985</v>
      </c>
    </row>
    <row r="49" spans="1:9" ht="13.5" thickBot="1" x14ac:dyDescent="0.25">
      <c r="A49" s="7"/>
      <c r="B49" s="7" t="s">
        <v>36</v>
      </c>
      <c r="C49" s="5"/>
      <c r="D49" s="5"/>
      <c r="E49" s="29">
        <f>E48*$C$13</f>
        <v>135100.66657499972</v>
      </c>
      <c r="F49" s="29">
        <f t="shared" ref="F49:I49" si="7">F48*$C$13</f>
        <v>1826294.2703250002</v>
      </c>
      <c r="G49" s="29">
        <f t="shared" si="7"/>
        <v>3345193.290074999</v>
      </c>
      <c r="H49" s="29">
        <f t="shared" si="7"/>
        <v>3322493.7062624991</v>
      </c>
      <c r="I49" s="29">
        <f t="shared" si="7"/>
        <v>3299794.1224499992</v>
      </c>
    </row>
    <row r="50" spans="1:9" x14ac:dyDescent="0.2">
      <c r="A50" s="7"/>
      <c r="B50" s="7" t="s">
        <v>37</v>
      </c>
      <c r="C50" s="5"/>
      <c r="D50" s="5"/>
      <c r="E50" s="5">
        <f>E48-E49</f>
        <v>250901.23792499953</v>
      </c>
      <c r="F50" s="5">
        <f t="shared" ref="F50:I50" si="8">F48-F49</f>
        <v>3391689.3591750003</v>
      </c>
      <c r="G50" s="5">
        <f t="shared" si="8"/>
        <v>6212501.8244249988</v>
      </c>
      <c r="H50" s="5">
        <f t="shared" si="8"/>
        <v>6170345.4544874988</v>
      </c>
      <c r="I50" s="5">
        <f t="shared" si="8"/>
        <v>6128189.0845499989</v>
      </c>
    </row>
    <row r="51" spans="1:9" x14ac:dyDescent="0.2">
      <c r="A51" s="7"/>
      <c r="B51" s="7"/>
      <c r="C51" s="5"/>
      <c r="D51" s="5"/>
      <c r="E51" s="5"/>
      <c r="F51" s="5"/>
      <c r="G51" s="5"/>
      <c r="H51" s="5"/>
      <c r="I51" s="5"/>
    </row>
    <row r="52" spans="1:9" x14ac:dyDescent="0.2">
      <c r="A52" s="7" t="s">
        <v>38</v>
      </c>
      <c r="B52" s="7"/>
      <c r="C52" s="5"/>
      <c r="D52" s="5"/>
      <c r="E52" s="5"/>
      <c r="F52" s="5"/>
      <c r="G52" s="5"/>
      <c r="H52" s="5"/>
      <c r="I52" s="5"/>
    </row>
    <row r="53" spans="1:9" ht="13.5" thickBot="1" x14ac:dyDescent="0.25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A54" s="7"/>
      <c r="B54" s="31" t="s">
        <v>35</v>
      </c>
      <c r="C54" s="5"/>
      <c r="D54" s="5"/>
      <c r="E54" s="32">
        <f>E48</f>
        <v>386001.90449999925</v>
      </c>
      <c r="F54" s="32">
        <f t="shared" ref="F54:I54" si="9">F48</f>
        <v>5217983.6295000007</v>
      </c>
      <c r="G54" s="32">
        <f t="shared" si="9"/>
        <v>9557695.1144999973</v>
      </c>
      <c r="H54" s="32">
        <f t="shared" si="9"/>
        <v>9492839.1607499979</v>
      </c>
      <c r="I54" s="32">
        <f t="shared" si="9"/>
        <v>9427983.2069999985</v>
      </c>
    </row>
    <row r="55" spans="1:9" x14ac:dyDescent="0.2">
      <c r="A55" s="7"/>
      <c r="B55" s="7" t="s">
        <v>18</v>
      </c>
      <c r="C55" s="5"/>
      <c r="D55" s="5"/>
      <c r="E55" s="5">
        <f>E47</f>
        <v>4266599.9479999999</v>
      </c>
      <c r="F55" s="5">
        <f t="shared" ref="F55:I55" si="10">F47</f>
        <v>4266599.9479999999</v>
      </c>
      <c r="G55" s="5">
        <f t="shared" si="10"/>
        <v>4266599.9479999999</v>
      </c>
      <c r="H55" s="5">
        <f t="shared" si="10"/>
        <v>4266599.9479999999</v>
      </c>
      <c r="I55" s="5">
        <f t="shared" si="10"/>
        <v>4266599.9479999999</v>
      </c>
    </row>
    <row r="56" spans="1:9" ht="13.5" thickBot="1" x14ac:dyDescent="0.25">
      <c r="A56" s="7"/>
      <c r="B56" s="7" t="s">
        <v>36</v>
      </c>
      <c r="C56" s="5"/>
      <c r="D56" s="5"/>
      <c r="E56" s="29">
        <f>E49</f>
        <v>135100.66657499972</v>
      </c>
      <c r="F56" s="29">
        <f t="shared" ref="F56:I56" si="11">F49</f>
        <v>1826294.2703250002</v>
      </c>
      <c r="G56" s="29">
        <f t="shared" si="11"/>
        <v>3345193.290074999</v>
      </c>
      <c r="H56" s="29">
        <f t="shared" si="11"/>
        <v>3322493.7062624991</v>
      </c>
      <c r="I56" s="29">
        <f t="shared" si="11"/>
        <v>3299794.1224499992</v>
      </c>
    </row>
    <row r="57" spans="1:9" x14ac:dyDescent="0.2">
      <c r="A57" s="7"/>
      <c r="B57" s="7" t="s">
        <v>38</v>
      </c>
      <c r="C57" s="5"/>
      <c r="D57" s="5"/>
      <c r="E57" s="5">
        <f>E54+E55-E56</f>
        <v>4517501.1859249994</v>
      </c>
      <c r="F57" s="5">
        <f t="shared" ref="F57:I57" si="12">F54+F55-F56</f>
        <v>7658289.3071750002</v>
      </c>
      <c r="G57" s="5">
        <f t="shared" si="12"/>
        <v>10479101.772424998</v>
      </c>
      <c r="H57" s="5">
        <f t="shared" si="12"/>
        <v>10436945.402487498</v>
      </c>
      <c r="I57" s="5">
        <f t="shared" si="12"/>
        <v>10394789.032549998</v>
      </c>
    </row>
    <row r="58" spans="1:9" x14ac:dyDescent="0.2">
      <c r="A58" s="7"/>
      <c r="B58" s="7"/>
      <c r="C58" s="5"/>
      <c r="D58" s="5"/>
      <c r="E58" s="5"/>
      <c r="F58" s="5"/>
      <c r="G58" s="5"/>
      <c r="H58" s="5"/>
      <c r="I58" s="5"/>
    </row>
    <row r="59" spans="1:9" x14ac:dyDescent="0.2">
      <c r="A59" s="7" t="s">
        <v>39</v>
      </c>
      <c r="B59" s="7"/>
      <c r="C59" s="5"/>
      <c r="D59" s="5"/>
      <c r="E59" s="5"/>
      <c r="F59" s="5"/>
      <c r="G59" s="5"/>
      <c r="H59" s="5"/>
      <c r="I59" s="5"/>
    </row>
    <row r="60" spans="1:9" ht="13.5" thickBot="1" x14ac:dyDescent="0.25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A61" s="7"/>
      <c r="B61" s="7" t="s">
        <v>38</v>
      </c>
      <c r="C61" s="5"/>
      <c r="D61" s="5"/>
      <c r="E61" s="5">
        <f>E57</f>
        <v>4517501.1859249994</v>
      </c>
      <c r="F61" s="5">
        <f t="shared" ref="F61:I61" si="13">F57</f>
        <v>7658289.3071750002</v>
      </c>
      <c r="G61" s="5">
        <f t="shared" si="13"/>
        <v>10479101.772424998</v>
      </c>
      <c r="H61" s="5">
        <f t="shared" si="13"/>
        <v>10436945.402487498</v>
      </c>
      <c r="I61" s="5">
        <f t="shared" si="13"/>
        <v>10394789.032549998</v>
      </c>
    </row>
    <row r="62" spans="1:9" ht="15" x14ac:dyDescent="0.25">
      <c r="A62" s="7"/>
      <c r="B62" s="7" t="s">
        <v>28</v>
      </c>
      <c r="C62" s="5"/>
      <c r="D62" s="5">
        <f>D40</f>
        <v>-3490468.3333333335</v>
      </c>
      <c r="E62" s="5">
        <f t="shared" ref="E62:I62" si="14">E40</f>
        <v>-487711.66666666651</v>
      </c>
      <c r="F62" s="5">
        <f t="shared" si="14"/>
        <v>-1989090</v>
      </c>
      <c r="G62" s="5">
        <f t="shared" si="14"/>
        <v>-1989090</v>
      </c>
      <c r="H62" s="5">
        <f t="shared" si="14"/>
        <v>0</v>
      </c>
      <c r="I62" s="5">
        <f t="shared" si="14"/>
        <v>7956360</v>
      </c>
    </row>
    <row r="63" spans="1:9" ht="13.5" thickBot="1" x14ac:dyDescent="0.25">
      <c r="A63" s="7"/>
      <c r="B63" s="7" t="s">
        <v>40</v>
      </c>
      <c r="C63" s="5"/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A64" s="7"/>
      <c r="B64" s="7" t="s">
        <v>41</v>
      </c>
      <c r="C64" s="5"/>
      <c r="D64" s="5">
        <f>SUM(D61:D63)</f>
        <v>-24784468.333333332</v>
      </c>
      <c r="E64" s="5">
        <f t="shared" ref="E64:I64" si="15">SUM(E61:E63)</f>
        <v>4029789.5192583329</v>
      </c>
      <c r="F64" s="5">
        <f t="shared" si="15"/>
        <v>5669199.3071750002</v>
      </c>
      <c r="G64" s="5">
        <f t="shared" si="15"/>
        <v>8490011.7724249978</v>
      </c>
      <c r="H64" s="5">
        <f t="shared" si="15"/>
        <v>10436945.402487498</v>
      </c>
      <c r="I64" s="5">
        <f t="shared" si="15"/>
        <v>18351149.03255</v>
      </c>
    </row>
    <row r="65" spans="1:9" x14ac:dyDescent="0.2">
      <c r="A65" s="7"/>
      <c r="B65" s="7"/>
      <c r="C65" s="5"/>
      <c r="D65" s="5"/>
      <c r="E65" s="5"/>
      <c r="F65" s="5"/>
      <c r="G65" s="5"/>
      <c r="H65" s="5"/>
      <c r="I65" s="5"/>
    </row>
    <row r="66" spans="1:9" x14ac:dyDescent="0.2">
      <c r="A66" s="7"/>
      <c r="B66" s="7" t="s">
        <v>42</v>
      </c>
      <c r="C66" s="5"/>
      <c r="D66" s="5">
        <f>D64/(1+$C14)^D60</f>
        <v>-24784468.333333332</v>
      </c>
      <c r="E66" s="5">
        <f t="shared" ref="E66:I66" si="16">E64/(1+$C14)^E60</f>
        <v>3358157.9327152777</v>
      </c>
      <c r="F66" s="5">
        <f t="shared" si="16"/>
        <v>3936943.9633159726</v>
      </c>
      <c r="G66" s="5">
        <f t="shared" si="16"/>
        <v>4913201.2571903924</v>
      </c>
      <c r="H66" s="5">
        <f t="shared" si="16"/>
        <v>5033249.133144048</v>
      </c>
      <c r="I66" s="5">
        <f t="shared" si="16"/>
        <v>7374915.2169134198</v>
      </c>
    </row>
    <row r="67" spans="1:9" x14ac:dyDescent="0.2">
      <c r="A67" s="7"/>
      <c r="B67" s="7"/>
      <c r="C67" s="5"/>
      <c r="D67" s="5"/>
      <c r="E67" s="5"/>
      <c r="F67" s="5"/>
      <c r="G67" s="5"/>
      <c r="H67" s="5"/>
      <c r="I67" s="5"/>
    </row>
    <row r="68" spans="1:9" ht="13.5" thickBot="1" x14ac:dyDescent="0.25">
      <c r="A68" s="7"/>
      <c r="B68" s="7"/>
      <c r="C68" s="5"/>
      <c r="D68" s="5"/>
      <c r="E68" s="5"/>
      <c r="F68" s="5"/>
      <c r="G68" s="5"/>
      <c r="H68" s="5"/>
      <c r="I68" s="5"/>
    </row>
    <row r="69" spans="1:9" ht="13.5" thickTop="1" x14ac:dyDescent="0.2">
      <c r="A69" s="7"/>
      <c r="B69" s="33" t="s">
        <v>43</v>
      </c>
      <c r="C69" s="34"/>
      <c r="D69" s="183">
        <f>SUM(D66:I66)</f>
        <v>-168000.83005422354</v>
      </c>
      <c r="E69" s="35"/>
      <c r="F69" s="5"/>
      <c r="G69" s="5"/>
      <c r="H69" s="5"/>
      <c r="I69" s="5"/>
    </row>
    <row r="70" spans="1:9" ht="13.5" thickBot="1" x14ac:dyDescent="0.25">
      <c r="A70" s="7"/>
      <c r="B70" s="36" t="s">
        <v>44</v>
      </c>
      <c r="C70" s="23"/>
      <c r="D70" s="104">
        <f>IRR(D64:I64)</f>
        <v>0.19758258143291463</v>
      </c>
      <c r="E70" s="35"/>
      <c r="F70" s="5"/>
      <c r="G70" s="5"/>
      <c r="H70" s="5"/>
      <c r="I70" s="5"/>
    </row>
  </sheetData>
  <conditionalFormatting sqref="D69">
    <cfRule type="cellIs" dxfId="1" priority="1" operator="lessThan">
      <formula>0</formula>
    </cfRule>
  </conditionalFormatting>
  <pageMargins left="0.7" right="0.7" top="0.75" bottom="0.75" header="0.3" footer="0.3"/>
  <pageSetup scale="70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B7D2-AF76-4920-AA77-B6BB61D97B96}">
  <sheetPr codeName="Sheet7"/>
  <dimension ref="A1:I71"/>
  <sheetViews>
    <sheetView zoomScale="110" zoomScaleNormal="110" workbookViewId="0">
      <selection activeCell="N25" sqref="N25"/>
    </sheetView>
  </sheetViews>
  <sheetFormatPr defaultRowHeight="12.75" x14ac:dyDescent="0.2"/>
  <cols>
    <col min="1" max="1" width="5.7109375" customWidth="1"/>
    <col min="2" max="2" width="35.7109375" bestFit="1" customWidth="1"/>
    <col min="3" max="3" width="12.28515625" bestFit="1" customWidth="1"/>
    <col min="4" max="4" width="13.140625" bestFit="1" customWidth="1"/>
    <col min="5" max="9" width="12.85546875" bestFit="1" customWidth="1"/>
  </cols>
  <sheetData>
    <row r="1" spans="1:9" ht="15.75" x14ac:dyDescent="0.25">
      <c r="A1" s="2" t="s">
        <v>0</v>
      </c>
      <c r="B1" s="3"/>
      <c r="C1" s="4"/>
      <c r="D1" s="5"/>
      <c r="E1" s="5"/>
      <c r="F1" s="5"/>
      <c r="G1" s="6"/>
      <c r="H1" s="5"/>
      <c r="I1" s="5"/>
    </row>
    <row r="2" spans="1:9" ht="13.5" thickBot="1" x14ac:dyDescent="0.25">
      <c r="A2" s="7" t="s">
        <v>1</v>
      </c>
      <c r="B2" s="7"/>
      <c r="C2" s="5"/>
      <c r="D2" s="5"/>
      <c r="E2" s="5"/>
      <c r="F2" s="5"/>
      <c r="G2" s="5"/>
      <c r="H2" s="5"/>
      <c r="I2" s="5"/>
    </row>
    <row r="3" spans="1:9" ht="13.5" thickBot="1" x14ac:dyDescent="0.25">
      <c r="A3" s="8"/>
      <c r="B3" s="9" t="s">
        <v>2</v>
      </c>
      <c r="C3" s="9"/>
      <c r="D3" s="97">
        <v>0</v>
      </c>
      <c r="E3" s="97">
        <v>1</v>
      </c>
      <c r="F3" s="97">
        <v>2</v>
      </c>
      <c r="G3" s="97">
        <v>3</v>
      </c>
      <c r="H3" s="97">
        <f>G3+1</f>
        <v>4</v>
      </c>
      <c r="I3" s="97">
        <f>H3+1</f>
        <v>5</v>
      </c>
    </row>
    <row r="4" spans="1:9" ht="13.5" thickBot="1" x14ac:dyDescent="0.25">
      <c r="A4" s="7"/>
      <c r="B4" s="7"/>
      <c r="C4" s="5"/>
      <c r="D4" s="5"/>
      <c r="E4" s="5"/>
      <c r="F4" s="5"/>
      <c r="G4" s="5"/>
      <c r="H4" s="5"/>
      <c r="I4" s="5"/>
    </row>
    <row r="5" spans="1:9" x14ac:dyDescent="0.2">
      <c r="A5" s="10" t="s">
        <v>3</v>
      </c>
      <c r="B5" s="11"/>
      <c r="C5" s="12"/>
      <c r="D5" s="12"/>
      <c r="E5" s="12"/>
      <c r="F5" s="12"/>
      <c r="G5" s="12"/>
      <c r="H5" s="12"/>
      <c r="I5" s="12"/>
    </row>
    <row r="6" spans="1:9" x14ac:dyDescent="0.2">
      <c r="A6" s="13"/>
      <c r="B6" s="14" t="s">
        <v>4</v>
      </c>
      <c r="C6" s="15"/>
      <c r="D6" s="15"/>
      <c r="E6" s="160">
        <f>'Sales Forecast'!B37</f>
        <v>2780</v>
      </c>
      <c r="F6" s="160">
        <f>'Sales Forecast'!C37</f>
        <v>4170</v>
      </c>
      <c r="G6" s="160">
        <f>'Sales Forecast'!D37</f>
        <v>5560</v>
      </c>
      <c r="H6" s="160">
        <f>'Sales Forecast'!E37</f>
        <v>5560</v>
      </c>
      <c r="I6" s="160">
        <f>'Sales Forecast'!F37</f>
        <v>5560</v>
      </c>
    </row>
    <row r="7" spans="1:9" x14ac:dyDescent="0.2">
      <c r="A7" s="13"/>
      <c r="B7" s="14" t="s">
        <v>5</v>
      </c>
      <c r="C7" s="30"/>
      <c r="D7" s="15"/>
      <c r="E7" s="16">
        <f>Computations!B64</f>
        <v>16421094.75</v>
      </c>
      <c r="F7" s="16">
        <f>Computations!C64</f>
        <v>24448350.25</v>
      </c>
      <c r="G7" s="16">
        <f>Computations!D64</f>
        <v>32944434.550000001</v>
      </c>
      <c r="H7" s="16">
        <f>Computations!E64</f>
        <v>33006202.125</v>
      </c>
      <c r="I7" s="16">
        <f>Computations!F64</f>
        <v>33067969.699999999</v>
      </c>
    </row>
    <row r="8" spans="1:9" x14ac:dyDescent="0.2">
      <c r="A8" s="13"/>
      <c r="B8" s="14" t="s">
        <v>6</v>
      </c>
      <c r="C8" s="30"/>
      <c r="D8" s="15"/>
      <c r="E8" s="16">
        <f>'Capital Budgeting'!E8</f>
        <v>4626448.66</v>
      </c>
      <c r="F8" s="16">
        <f>'Capital Budgeting'!F8</f>
        <v>4626448.66</v>
      </c>
      <c r="G8" s="16">
        <f>'Capital Budgeting'!G8</f>
        <v>4405755</v>
      </c>
      <c r="H8" s="16">
        <f>'Capital Budgeting'!H8</f>
        <v>4405755</v>
      </c>
      <c r="I8" s="16">
        <f>'Capital Budgeting'!I8</f>
        <v>4405755</v>
      </c>
    </row>
    <row r="9" spans="1:9" x14ac:dyDescent="0.2">
      <c r="A9" s="13"/>
      <c r="B9" s="14" t="s">
        <v>7</v>
      </c>
      <c r="C9" s="30"/>
      <c r="D9" s="15"/>
      <c r="E9" s="16"/>
      <c r="F9" s="16"/>
      <c r="G9" s="16"/>
      <c r="H9" s="16"/>
      <c r="I9" s="16"/>
    </row>
    <row r="10" spans="1:9" x14ac:dyDescent="0.2">
      <c r="A10" s="13"/>
      <c r="B10" s="17" t="s">
        <v>8</v>
      </c>
      <c r="C10" s="98"/>
      <c r="D10" s="18"/>
      <c r="E10" s="16">
        <f>'Sales Forecast'!AS36</f>
        <v>436.5</v>
      </c>
      <c r="F10" s="16">
        <f>'Sales Forecast'!AS36</f>
        <v>436.5</v>
      </c>
      <c r="G10" s="16">
        <f>'Sales Forecast'!AS36</f>
        <v>436.5</v>
      </c>
      <c r="H10" s="16">
        <f>'Sales Forecast'!AS36</f>
        <v>436.5</v>
      </c>
      <c r="I10" s="16">
        <f>'Sales Forecast'!AS36</f>
        <v>436.5</v>
      </c>
    </row>
    <row r="11" spans="1:9" x14ac:dyDescent="0.2">
      <c r="A11" s="13"/>
      <c r="B11" s="17" t="s">
        <v>9</v>
      </c>
      <c r="C11" s="98"/>
      <c r="D11" s="18"/>
      <c r="E11" s="16">
        <f>'Sales Forecast'!AS37</f>
        <v>824.5</v>
      </c>
      <c r="F11" s="16">
        <f>'Sales Forecast'!AS37</f>
        <v>824.5</v>
      </c>
      <c r="G11" s="16">
        <f>'Sales Forecast'!AS37</f>
        <v>824.5</v>
      </c>
      <c r="H11" s="16">
        <f>'Sales Forecast'!AS37</f>
        <v>824.5</v>
      </c>
      <c r="I11" s="16">
        <f>'Sales Forecast'!AS37</f>
        <v>824.5</v>
      </c>
    </row>
    <row r="12" spans="1:9" x14ac:dyDescent="0.2">
      <c r="A12" s="13"/>
      <c r="B12" s="17" t="s">
        <v>10</v>
      </c>
      <c r="C12" s="98"/>
      <c r="D12" s="18"/>
      <c r="E12" s="16">
        <f>'Sales Forecast'!AS38</f>
        <v>873</v>
      </c>
      <c r="F12" s="16">
        <f>'Sales Forecast'!AS38</f>
        <v>873</v>
      </c>
      <c r="G12" s="16">
        <f>'Sales Forecast'!AS38</f>
        <v>873</v>
      </c>
      <c r="H12" s="16">
        <f>'Sales Forecast'!AS38</f>
        <v>873</v>
      </c>
      <c r="I12" s="16">
        <f>'Sales Forecast'!AS38</f>
        <v>873</v>
      </c>
    </row>
    <row r="13" spans="1:9" x14ac:dyDescent="0.2">
      <c r="A13" s="13"/>
      <c r="B13" s="14" t="s">
        <v>11</v>
      </c>
      <c r="C13" s="96">
        <v>0.35</v>
      </c>
      <c r="D13" s="15"/>
      <c r="E13" s="19">
        <v>0.35</v>
      </c>
      <c r="F13" s="19">
        <v>0.35</v>
      </c>
      <c r="G13" s="19">
        <v>0.35</v>
      </c>
      <c r="H13" s="19">
        <v>0.35</v>
      </c>
      <c r="I13" s="19">
        <v>0.35</v>
      </c>
    </row>
    <row r="14" spans="1:9" x14ac:dyDescent="0.2">
      <c r="A14" s="13"/>
      <c r="B14" s="14" t="s">
        <v>12</v>
      </c>
      <c r="C14" s="135">
        <v>0.2</v>
      </c>
      <c r="D14" s="15"/>
      <c r="E14" s="96">
        <f>C14</f>
        <v>0.2</v>
      </c>
      <c r="F14" s="96">
        <f>C14</f>
        <v>0.2</v>
      </c>
      <c r="G14" s="96">
        <f>C14</f>
        <v>0.2</v>
      </c>
      <c r="H14" s="96">
        <f>C14</f>
        <v>0.2</v>
      </c>
      <c r="I14" s="96">
        <f>C14</f>
        <v>0.2</v>
      </c>
    </row>
    <row r="15" spans="1:9" x14ac:dyDescent="0.2">
      <c r="A15" s="13"/>
      <c r="B15" s="14" t="s">
        <v>13</v>
      </c>
      <c r="C15" s="15">
        <f>'Capital Budgeting'!C15</f>
        <v>3490468.3333333335</v>
      </c>
      <c r="D15" s="15"/>
      <c r="E15" s="15"/>
      <c r="F15" s="15"/>
      <c r="G15" s="15"/>
      <c r="H15" s="15"/>
      <c r="I15" s="15"/>
    </row>
    <row r="16" spans="1:9" x14ac:dyDescent="0.2">
      <c r="A16" s="13"/>
      <c r="B16" s="14" t="s">
        <v>14</v>
      </c>
      <c r="C16" s="19">
        <v>0.15</v>
      </c>
      <c r="D16" s="15"/>
      <c r="E16" s="15"/>
      <c r="F16" s="15"/>
      <c r="G16" s="15"/>
      <c r="H16" s="15"/>
      <c r="I16" s="15"/>
    </row>
    <row r="17" spans="1:9" x14ac:dyDescent="0.2">
      <c r="A17" s="13"/>
      <c r="B17" s="14" t="s">
        <v>15</v>
      </c>
      <c r="C17" s="30">
        <f>Computations!B8+Total_CostofComputers</f>
        <v>21332999.739999998</v>
      </c>
      <c r="D17" s="20"/>
      <c r="E17" s="15"/>
      <c r="F17" s="15"/>
      <c r="G17" s="15"/>
      <c r="H17" s="15"/>
      <c r="I17" s="15"/>
    </row>
    <row r="18" spans="1:9" ht="13.5" thickBot="1" x14ac:dyDescent="0.25">
      <c r="A18" s="21"/>
      <c r="B18" s="22" t="s">
        <v>16</v>
      </c>
      <c r="C18" s="134">
        <v>0</v>
      </c>
      <c r="D18" s="23"/>
      <c r="E18" s="23"/>
      <c r="F18" s="23"/>
      <c r="G18" s="23"/>
      <c r="H18" s="23"/>
      <c r="I18" s="23"/>
    </row>
    <row r="19" spans="1:9" x14ac:dyDescent="0.2">
      <c r="A19" s="7"/>
      <c r="B19" s="7"/>
      <c r="C19" s="5"/>
      <c r="D19" s="5"/>
      <c r="E19" s="5"/>
      <c r="F19" s="5"/>
      <c r="G19" s="5"/>
      <c r="H19" s="5"/>
      <c r="I19" s="5"/>
    </row>
    <row r="20" spans="1:9" x14ac:dyDescent="0.2">
      <c r="A20" s="7" t="s">
        <v>352</v>
      </c>
      <c r="B20" s="7"/>
      <c r="C20" s="5"/>
      <c r="D20" s="5"/>
      <c r="E20" s="5"/>
      <c r="F20" s="5"/>
      <c r="G20" s="5"/>
      <c r="H20" s="5"/>
      <c r="I20" s="5"/>
    </row>
    <row r="21" spans="1:9" x14ac:dyDescent="0.2">
      <c r="A21" s="7"/>
      <c r="B21" s="7" t="s">
        <v>17</v>
      </c>
      <c r="C21" s="5">
        <f>C17</f>
        <v>21332999.739999998</v>
      </c>
      <c r="D21" s="5"/>
      <c r="E21" s="5"/>
      <c r="F21" s="5"/>
      <c r="G21" s="5"/>
      <c r="H21" s="5"/>
      <c r="I21" s="5"/>
    </row>
    <row r="22" spans="1:9" ht="13.5" thickBot="1" x14ac:dyDescent="0.25">
      <c r="A22" s="24"/>
      <c r="B22" s="25" t="s">
        <v>2</v>
      </c>
      <c r="C22" s="25"/>
      <c r="D22" s="25"/>
      <c r="E22" s="25">
        <v>1</v>
      </c>
      <c r="F22" s="25">
        <v>2</v>
      </c>
      <c r="G22" s="25">
        <v>3</v>
      </c>
      <c r="H22" s="25">
        <f>G22+1</f>
        <v>4</v>
      </c>
      <c r="I22" s="25">
        <f>H22+1</f>
        <v>5</v>
      </c>
    </row>
    <row r="23" spans="1:9" x14ac:dyDescent="0.2">
      <c r="A23" s="7"/>
      <c r="B23" s="26" t="s">
        <v>353</v>
      </c>
      <c r="C23" s="5"/>
      <c r="D23" s="5"/>
      <c r="E23" s="27">
        <v>0.2</v>
      </c>
      <c r="F23" s="27">
        <v>0.2</v>
      </c>
      <c r="G23" s="27">
        <v>0.2</v>
      </c>
      <c r="H23" s="27">
        <v>0.2</v>
      </c>
      <c r="I23" s="27">
        <v>0.2</v>
      </c>
    </row>
    <row r="24" spans="1:9" x14ac:dyDescent="0.2">
      <c r="A24" s="7"/>
      <c r="B24" s="26" t="s">
        <v>354</v>
      </c>
      <c r="C24" s="5"/>
      <c r="D24" s="5"/>
      <c r="E24" s="5">
        <f>+E23*$C$21</f>
        <v>4266599.9479999999</v>
      </c>
      <c r="F24" s="5">
        <f t="shared" ref="F24:H24" si="0">+F23*$C$21</f>
        <v>4266599.9479999999</v>
      </c>
      <c r="G24" s="5">
        <f t="shared" si="0"/>
        <v>4266599.9479999999</v>
      </c>
      <c r="H24" s="5">
        <f t="shared" si="0"/>
        <v>4266599.9479999999</v>
      </c>
      <c r="I24" s="5">
        <f>+I23*$C$21</f>
        <v>4266599.9479999999</v>
      </c>
    </row>
    <row r="25" spans="1:9" x14ac:dyDescent="0.2">
      <c r="A25" s="7"/>
      <c r="B25" s="184" t="s">
        <v>19</v>
      </c>
      <c r="C25" s="5"/>
      <c r="D25" s="5"/>
      <c r="E25" s="5">
        <f>+C21-E24</f>
        <v>17066399.791999999</v>
      </c>
      <c r="F25" s="5">
        <f t="shared" ref="F25:I25" si="1">+E25-F24</f>
        <v>12799799.844000001</v>
      </c>
      <c r="G25" s="5">
        <f t="shared" si="1"/>
        <v>8533199.8960000016</v>
      </c>
      <c r="H25" s="5">
        <f t="shared" si="1"/>
        <v>4266599.9480000017</v>
      </c>
      <c r="I25" s="5">
        <f t="shared" si="1"/>
        <v>0</v>
      </c>
    </row>
    <row r="26" spans="1:9" x14ac:dyDescent="0.2">
      <c r="A26" s="7"/>
      <c r="B26" s="7"/>
      <c r="C26" s="5"/>
      <c r="D26" s="5"/>
      <c r="E26" s="5"/>
      <c r="F26" s="5"/>
      <c r="G26" s="5"/>
      <c r="H26" s="5"/>
      <c r="I26" s="5"/>
    </row>
    <row r="27" spans="1:9" x14ac:dyDescent="0.2">
      <c r="A27" s="7" t="s">
        <v>20</v>
      </c>
      <c r="B27" s="7"/>
      <c r="C27" s="5"/>
      <c r="D27" s="5"/>
      <c r="E27" s="5"/>
      <c r="F27" s="5"/>
      <c r="G27" s="5"/>
      <c r="H27" s="5"/>
      <c r="I27" s="5"/>
    </row>
    <row r="28" spans="1:9" x14ac:dyDescent="0.2">
      <c r="A28" s="7"/>
      <c r="B28" s="7" t="s">
        <v>21</v>
      </c>
      <c r="C28" s="123">
        <f>C18</f>
        <v>0</v>
      </c>
      <c r="D28" s="5">
        <f>+C17*$C$28</f>
        <v>0</v>
      </c>
      <c r="E28" s="5"/>
      <c r="F28" s="5"/>
      <c r="G28" s="5"/>
      <c r="H28" s="5"/>
      <c r="I28" s="5"/>
    </row>
    <row r="29" spans="1:9" x14ac:dyDescent="0.2">
      <c r="A29" s="7"/>
      <c r="B29" s="7" t="s">
        <v>312</v>
      </c>
      <c r="C29" s="5"/>
      <c r="D29" s="28">
        <f>I25</f>
        <v>0</v>
      </c>
      <c r="E29" s="5"/>
      <c r="F29" s="5"/>
      <c r="G29" s="5"/>
      <c r="H29" s="5"/>
      <c r="I29" s="5"/>
    </row>
    <row r="30" spans="1:9" x14ac:dyDescent="0.2">
      <c r="A30" s="7"/>
      <c r="B30" s="7" t="s">
        <v>22</v>
      </c>
      <c r="C30" s="5"/>
      <c r="D30" s="5">
        <f>+D28-D29</f>
        <v>0</v>
      </c>
      <c r="E30" s="5"/>
      <c r="F30" s="5"/>
      <c r="G30" s="5"/>
      <c r="H30" s="5"/>
      <c r="I30" s="5"/>
    </row>
    <row r="31" spans="1:9" x14ac:dyDescent="0.2">
      <c r="A31" s="7"/>
      <c r="B31" s="7" t="s">
        <v>23</v>
      </c>
      <c r="C31" s="5"/>
      <c r="D31" s="28">
        <f>+D30*C13</f>
        <v>0</v>
      </c>
      <c r="E31" s="5"/>
      <c r="F31" s="5"/>
      <c r="G31" s="5"/>
      <c r="H31" s="5"/>
      <c r="I31" s="5"/>
    </row>
    <row r="32" spans="1:9" x14ac:dyDescent="0.2">
      <c r="A32" s="7"/>
      <c r="B32" s="7" t="s">
        <v>24</v>
      </c>
      <c r="C32" s="5"/>
      <c r="D32" s="5">
        <f>+D28-D31</f>
        <v>0</v>
      </c>
      <c r="E32" s="5"/>
      <c r="F32" s="5"/>
      <c r="G32" s="5"/>
      <c r="H32" s="5"/>
      <c r="I32" s="5"/>
    </row>
    <row r="33" spans="1:9" x14ac:dyDescent="0.2">
      <c r="A33" s="7"/>
      <c r="B33" s="7"/>
      <c r="C33" s="5"/>
      <c r="D33" s="5"/>
      <c r="E33" s="5"/>
      <c r="F33" s="5"/>
      <c r="G33" s="5"/>
      <c r="H33" s="5"/>
      <c r="I33" s="5"/>
    </row>
    <row r="34" spans="1:9" x14ac:dyDescent="0.2">
      <c r="A34" s="7" t="s">
        <v>25</v>
      </c>
      <c r="B34" s="7"/>
      <c r="C34" s="5"/>
      <c r="D34" s="5"/>
      <c r="E34" s="5"/>
      <c r="F34" s="5"/>
      <c r="G34" s="5"/>
      <c r="H34" s="5"/>
      <c r="I34" s="5"/>
    </row>
    <row r="35" spans="1:9" ht="13.5" thickBot="1" x14ac:dyDescent="0.25">
      <c r="A35" s="24"/>
      <c r="B35" s="25" t="s">
        <v>2</v>
      </c>
      <c r="C35" s="25"/>
      <c r="D35" s="25"/>
      <c r="E35" s="25">
        <v>1</v>
      </c>
      <c r="F35" s="25">
        <v>2</v>
      </c>
      <c r="G35" s="25">
        <v>3</v>
      </c>
      <c r="H35" s="25">
        <f>G35+1</f>
        <v>4</v>
      </c>
      <c r="I35" s="25">
        <f>H35+1</f>
        <v>5</v>
      </c>
    </row>
    <row r="36" spans="1:9" x14ac:dyDescent="0.2">
      <c r="A36" s="7"/>
      <c r="B36" s="7" t="s">
        <v>26</v>
      </c>
      <c r="C36" s="5"/>
      <c r="D36" s="5">
        <f>C15</f>
        <v>3490468.3333333335</v>
      </c>
      <c r="E36" s="5">
        <f>$C$16*E44</f>
        <v>3858834.5999999996</v>
      </c>
      <c r="F36" s="5">
        <f t="shared" ref="F36:I36" si="2">$C$16*F44</f>
        <v>5788251.8999999994</v>
      </c>
      <c r="G36" s="5">
        <f t="shared" si="2"/>
        <v>7717669.1999999993</v>
      </c>
      <c r="H36" s="5">
        <f t="shared" si="2"/>
        <v>7717669.1999999993</v>
      </c>
      <c r="I36" s="5">
        <f t="shared" si="2"/>
        <v>7717669.1999999993</v>
      </c>
    </row>
    <row r="37" spans="1:9" x14ac:dyDescent="0.2">
      <c r="A37" s="7"/>
      <c r="B37" s="7" t="s">
        <v>27</v>
      </c>
      <c r="C37" s="5"/>
      <c r="D37" s="5">
        <f>C15</f>
        <v>3490468.3333333335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</row>
    <row r="38" spans="1:9" ht="15" x14ac:dyDescent="0.25">
      <c r="A38" s="7"/>
      <c r="B38" s="7" t="s">
        <v>28</v>
      </c>
      <c r="C38" s="5"/>
      <c r="D38" s="5">
        <f>0-D36</f>
        <v>-3490468.3333333335</v>
      </c>
      <c r="E38" s="5">
        <f>D36-E36</f>
        <v>-368366.26666666614</v>
      </c>
      <c r="F38" s="5">
        <f t="shared" ref="F38" si="3">E36-F36</f>
        <v>-1929417.2999999998</v>
      </c>
      <c r="G38" s="5">
        <f>F36-G36</f>
        <v>-1929417.2999999998</v>
      </c>
      <c r="H38" s="5">
        <f>G36-H36</f>
        <v>0</v>
      </c>
      <c r="I38" s="5">
        <f>H36-I36</f>
        <v>0</v>
      </c>
    </row>
    <row r="39" spans="1:9" ht="13.5" thickBot="1" x14ac:dyDescent="0.25">
      <c r="A39" s="7"/>
      <c r="B39" s="7" t="s">
        <v>29</v>
      </c>
      <c r="C39" s="5"/>
      <c r="D39" s="29"/>
      <c r="E39" s="29"/>
      <c r="F39" s="29"/>
      <c r="G39" s="29"/>
      <c r="H39" s="29"/>
      <c r="I39" s="29">
        <f>I36</f>
        <v>7717669.1999999993</v>
      </c>
    </row>
    <row r="40" spans="1:9" x14ac:dyDescent="0.2">
      <c r="A40" s="7"/>
      <c r="B40" s="7" t="s">
        <v>30</v>
      </c>
      <c r="C40" s="5"/>
      <c r="D40" s="5">
        <f>D38+D39</f>
        <v>-3490468.3333333335</v>
      </c>
      <c r="E40" s="5">
        <f t="shared" ref="E40:I40" si="4">E38+E39</f>
        <v>-368366.26666666614</v>
      </c>
      <c r="F40" s="5">
        <f t="shared" si="4"/>
        <v>-1929417.2999999998</v>
      </c>
      <c r="G40" s="5">
        <f t="shared" si="4"/>
        <v>-1929417.2999999998</v>
      </c>
      <c r="H40" s="5">
        <f>H38+H39</f>
        <v>0</v>
      </c>
      <c r="I40" s="5">
        <f t="shared" si="4"/>
        <v>7717669.1999999993</v>
      </c>
    </row>
    <row r="41" spans="1:9" x14ac:dyDescent="0.2">
      <c r="A41" s="7"/>
      <c r="B41" s="7"/>
      <c r="C41" s="5"/>
      <c r="D41" s="5"/>
      <c r="E41" s="5"/>
      <c r="F41" s="5"/>
      <c r="G41" s="5"/>
      <c r="H41" s="5"/>
      <c r="I41" s="5"/>
    </row>
    <row r="42" spans="1:9" x14ac:dyDescent="0.2">
      <c r="A42" s="7" t="s">
        <v>31</v>
      </c>
      <c r="B42" s="7"/>
      <c r="C42" s="5"/>
      <c r="D42" s="5"/>
      <c r="E42" s="5"/>
      <c r="F42" s="5"/>
      <c r="G42" s="5"/>
      <c r="H42" s="5"/>
      <c r="I42" s="5"/>
    </row>
    <row r="43" spans="1:9" ht="13.5" thickBot="1" x14ac:dyDescent="0.25">
      <c r="A43" s="24"/>
      <c r="B43" s="25" t="s">
        <v>2</v>
      </c>
      <c r="C43" s="25"/>
      <c r="D43" s="25"/>
      <c r="E43" s="25">
        <v>1</v>
      </c>
      <c r="F43" s="25">
        <v>2</v>
      </c>
      <c r="G43" s="25">
        <v>3</v>
      </c>
      <c r="H43" s="25">
        <f>G43+1</f>
        <v>4</v>
      </c>
      <c r="I43" s="25">
        <f>H43+1</f>
        <v>5</v>
      </c>
    </row>
    <row r="44" spans="1:9" x14ac:dyDescent="0.2">
      <c r="A44" s="7"/>
      <c r="B44" s="7" t="s">
        <v>32</v>
      </c>
      <c r="C44" s="5"/>
      <c r="D44" s="5"/>
      <c r="E44" s="161">
        <f>'Sales Forecast'!AL40</f>
        <v>25725564</v>
      </c>
      <c r="F44" s="161">
        <f>'Sales Forecast'!AM40</f>
        <v>38588346</v>
      </c>
      <c r="G44" s="161">
        <f>'Sales Forecast'!AN40</f>
        <v>51451128</v>
      </c>
      <c r="H44" s="161">
        <f>'Sales Forecast'!AO40</f>
        <v>51451128</v>
      </c>
      <c r="I44" s="161">
        <f>'Sales Forecast'!AP40</f>
        <v>51451128</v>
      </c>
    </row>
    <row r="45" spans="1:9" x14ac:dyDescent="0.2">
      <c r="A45" s="7"/>
      <c r="B45" s="7" t="s">
        <v>33</v>
      </c>
      <c r="C45" s="5"/>
      <c r="D45" s="5"/>
      <c r="E45" s="5">
        <f>E7</f>
        <v>16421094.75</v>
      </c>
      <c r="F45" s="5">
        <f t="shared" ref="F45:I45" si="5">F7</f>
        <v>24448350.25</v>
      </c>
      <c r="G45" s="5">
        <f t="shared" si="5"/>
        <v>32944434.550000001</v>
      </c>
      <c r="H45" s="5">
        <f t="shared" si="5"/>
        <v>33006202.125</v>
      </c>
      <c r="I45" s="5">
        <f t="shared" si="5"/>
        <v>33067969.699999999</v>
      </c>
    </row>
    <row r="46" spans="1:9" x14ac:dyDescent="0.2">
      <c r="A46" s="7"/>
      <c r="B46" s="7" t="s">
        <v>34</v>
      </c>
      <c r="C46" s="5"/>
      <c r="D46" s="5"/>
      <c r="E46" s="138" cm="1">
        <f t="array" ref="E46">FixedCosts_Total</f>
        <v>4626448.66</v>
      </c>
      <c r="F46" s="138" cm="1">
        <f t="array" ref="F46">FixedCosts_Total</f>
        <v>4626448.66</v>
      </c>
      <c r="G46" s="138" cm="1">
        <f t="array" ref="G46">FixedCosts_Total</f>
        <v>4626448.66</v>
      </c>
      <c r="H46" s="138" cm="1">
        <f t="array" ref="H46">FixedCosts_Total</f>
        <v>4626448.66</v>
      </c>
      <c r="I46" s="138" cm="1">
        <f t="array" ref="I46">FixedCosts_Total</f>
        <v>4626448.66</v>
      </c>
    </row>
    <row r="47" spans="1:9" ht="13.5" thickBot="1" x14ac:dyDescent="0.25">
      <c r="A47" s="7"/>
      <c r="B47" s="7" t="s">
        <v>18</v>
      </c>
      <c r="C47" s="5"/>
      <c r="D47" s="5"/>
      <c r="E47" s="5" cm="1">
        <f t="array" ref="E47">Depreciation_Computers</f>
        <v>4266599.9479999999</v>
      </c>
      <c r="F47" s="5" cm="1">
        <f t="array" ref="F47">Depreciation_Computers</f>
        <v>4266599.9479999999</v>
      </c>
      <c r="G47" s="5" cm="1">
        <f t="array" ref="G47">Depreciation_Computers</f>
        <v>4266599.9479999999</v>
      </c>
      <c r="H47" s="5" cm="1">
        <f t="array" ref="H47">Depreciation_Computers</f>
        <v>4266599.9479999999</v>
      </c>
      <c r="I47" s="5" cm="1">
        <f t="array" ref="I47">Depreciation_Computers</f>
        <v>4266599.9479999999</v>
      </c>
    </row>
    <row r="48" spans="1:9" x14ac:dyDescent="0.2">
      <c r="A48" s="7"/>
      <c r="B48" s="31" t="s">
        <v>35</v>
      </c>
      <c r="C48" s="5"/>
      <c r="D48" s="5"/>
      <c r="E48" s="32">
        <f t="shared" ref="E48:I48" si="6">+E44-E45-E46-E47</f>
        <v>411420.64199999999</v>
      </c>
      <c r="F48" s="32">
        <f t="shared" si="6"/>
        <v>5246947.142</v>
      </c>
      <c r="G48" s="32">
        <f t="shared" si="6"/>
        <v>9613644.8420000002</v>
      </c>
      <c r="H48" s="32">
        <f t="shared" si="6"/>
        <v>9551877.2670000009</v>
      </c>
      <c r="I48" s="32">
        <f t="shared" si="6"/>
        <v>9490109.6920000017</v>
      </c>
    </row>
    <row r="49" spans="1:9" ht="13.5" thickBot="1" x14ac:dyDescent="0.25">
      <c r="A49" s="7"/>
      <c r="B49" s="7" t="s">
        <v>36</v>
      </c>
      <c r="C49" s="5"/>
      <c r="D49" s="5"/>
      <c r="E49" s="29">
        <f>E48*$C$13</f>
        <v>143997.22469999999</v>
      </c>
      <c r="F49" s="29">
        <f t="shared" ref="F49:I49" si="7">F48*$C$13</f>
        <v>1836431.4996999998</v>
      </c>
      <c r="G49" s="29">
        <f t="shared" si="7"/>
        <v>3364775.6946999999</v>
      </c>
      <c r="H49" s="29">
        <f t="shared" si="7"/>
        <v>3343157.0434500002</v>
      </c>
      <c r="I49" s="29">
        <f t="shared" si="7"/>
        <v>3321538.3922000006</v>
      </c>
    </row>
    <row r="50" spans="1:9" x14ac:dyDescent="0.2">
      <c r="A50" s="7"/>
      <c r="B50" s="7" t="s">
        <v>37</v>
      </c>
      <c r="C50" s="5"/>
      <c r="D50" s="5"/>
      <c r="E50" s="5">
        <f>E48-E49</f>
        <v>267423.41729999997</v>
      </c>
      <c r="F50" s="5">
        <f t="shared" ref="F50:I50" si="8">F48-F49</f>
        <v>3410515.6423000004</v>
      </c>
      <c r="G50" s="5">
        <f t="shared" si="8"/>
        <v>6248869.1473000003</v>
      </c>
      <c r="H50" s="5">
        <f t="shared" si="8"/>
        <v>6208720.2235500012</v>
      </c>
      <c r="I50" s="5">
        <f t="shared" si="8"/>
        <v>6168571.2998000011</v>
      </c>
    </row>
    <row r="51" spans="1:9" x14ac:dyDescent="0.2">
      <c r="A51" s="7"/>
      <c r="B51" s="7"/>
      <c r="C51" s="5"/>
      <c r="D51" s="5"/>
      <c r="E51" s="5"/>
      <c r="F51" s="5"/>
      <c r="G51" s="5"/>
      <c r="H51" s="5"/>
      <c r="I51" s="5"/>
    </row>
    <row r="52" spans="1:9" x14ac:dyDescent="0.2">
      <c r="A52" s="7" t="s">
        <v>38</v>
      </c>
      <c r="B52" s="7"/>
      <c r="C52" s="5"/>
      <c r="D52" s="5"/>
      <c r="E52" s="5"/>
      <c r="F52" s="5"/>
      <c r="G52" s="5"/>
      <c r="H52" s="5"/>
      <c r="I52" s="5"/>
    </row>
    <row r="53" spans="1:9" ht="13.5" thickBot="1" x14ac:dyDescent="0.25">
      <c r="A53" s="24"/>
      <c r="B53" s="25" t="s">
        <v>2</v>
      </c>
      <c r="C53" s="25"/>
      <c r="D53" s="25"/>
      <c r="E53" s="25">
        <v>1</v>
      </c>
      <c r="F53" s="25">
        <v>2</v>
      </c>
      <c r="G53" s="25">
        <v>3</v>
      </c>
      <c r="H53" s="25">
        <f>G53+1</f>
        <v>4</v>
      </c>
      <c r="I53" s="25">
        <f>H53+1</f>
        <v>5</v>
      </c>
    </row>
    <row r="54" spans="1:9" x14ac:dyDescent="0.2">
      <c r="A54" s="7"/>
      <c r="B54" s="31" t="s">
        <v>35</v>
      </c>
      <c r="C54" s="5"/>
      <c r="D54" s="5"/>
      <c r="E54" s="32">
        <f>E48</f>
        <v>411420.64199999999</v>
      </c>
      <c r="F54" s="32">
        <f t="shared" ref="F54:I54" si="9">F48</f>
        <v>5246947.142</v>
      </c>
      <c r="G54" s="32">
        <f t="shared" si="9"/>
        <v>9613644.8420000002</v>
      </c>
      <c r="H54" s="32">
        <f t="shared" si="9"/>
        <v>9551877.2670000009</v>
      </c>
      <c r="I54" s="32">
        <f t="shared" si="9"/>
        <v>9490109.6920000017</v>
      </c>
    </row>
    <row r="55" spans="1:9" x14ac:dyDescent="0.2">
      <c r="A55" s="7"/>
      <c r="B55" s="7" t="s">
        <v>18</v>
      </c>
      <c r="C55" s="5"/>
      <c r="D55" s="5"/>
      <c r="E55" s="5">
        <f>E47</f>
        <v>4266599.9479999999</v>
      </c>
      <c r="F55" s="5">
        <f t="shared" ref="F55:I55" si="10">F47</f>
        <v>4266599.9479999999</v>
      </c>
      <c r="G55" s="5">
        <f t="shared" si="10"/>
        <v>4266599.9479999999</v>
      </c>
      <c r="H55" s="5">
        <f t="shared" si="10"/>
        <v>4266599.9479999999</v>
      </c>
      <c r="I55" s="5">
        <f t="shared" si="10"/>
        <v>4266599.9479999999</v>
      </c>
    </row>
    <row r="56" spans="1:9" ht="13.5" thickBot="1" x14ac:dyDescent="0.25">
      <c r="A56" s="7"/>
      <c r="B56" s="7" t="s">
        <v>36</v>
      </c>
      <c r="C56" s="5"/>
      <c r="D56" s="5"/>
      <c r="E56" s="29">
        <f>E49</f>
        <v>143997.22469999999</v>
      </c>
      <c r="F56" s="29">
        <f t="shared" ref="F56:I56" si="11">F49</f>
        <v>1836431.4996999998</v>
      </c>
      <c r="G56" s="29">
        <f t="shared" si="11"/>
        <v>3364775.6946999999</v>
      </c>
      <c r="H56" s="29">
        <f t="shared" si="11"/>
        <v>3343157.0434500002</v>
      </c>
      <c r="I56" s="29">
        <f t="shared" si="11"/>
        <v>3321538.3922000006</v>
      </c>
    </row>
    <row r="57" spans="1:9" x14ac:dyDescent="0.2">
      <c r="A57" s="7"/>
      <c r="B57" s="7" t="s">
        <v>38</v>
      </c>
      <c r="C57" s="5"/>
      <c r="D57" s="5"/>
      <c r="E57" s="5">
        <f>E54+E55-E56</f>
        <v>4534023.3652999997</v>
      </c>
      <c r="F57" s="5">
        <f t="shared" ref="F57:I57" si="12">F54+F55-F56</f>
        <v>7677115.5903000003</v>
      </c>
      <c r="G57" s="5">
        <f t="shared" si="12"/>
        <v>10515469.0953</v>
      </c>
      <c r="H57" s="5">
        <f t="shared" si="12"/>
        <v>10475320.17155</v>
      </c>
      <c r="I57" s="5">
        <f t="shared" si="12"/>
        <v>10435171.2478</v>
      </c>
    </row>
    <row r="58" spans="1:9" x14ac:dyDescent="0.2">
      <c r="A58" s="7"/>
      <c r="B58" s="7"/>
      <c r="C58" s="5"/>
      <c r="D58" s="5"/>
      <c r="E58" s="5"/>
      <c r="F58" s="5"/>
      <c r="G58" s="5"/>
      <c r="H58" s="5"/>
      <c r="I58" s="5"/>
    </row>
    <row r="59" spans="1:9" x14ac:dyDescent="0.2">
      <c r="A59" s="7" t="s">
        <v>39</v>
      </c>
      <c r="B59" s="7"/>
      <c r="C59" s="5"/>
      <c r="D59" s="5"/>
      <c r="E59" s="5"/>
      <c r="F59" s="5"/>
      <c r="G59" s="5"/>
      <c r="H59" s="5"/>
      <c r="I59" s="5"/>
    </row>
    <row r="60" spans="1:9" ht="13.5" thickBot="1" x14ac:dyDescent="0.25">
      <c r="A60" s="24"/>
      <c r="B60" s="25" t="s">
        <v>2</v>
      </c>
      <c r="C60" s="25"/>
      <c r="D60" s="133">
        <v>0</v>
      </c>
      <c r="E60" s="25">
        <v>1</v>
      </c>
      <c r="F60" s="25">
        <v>2</v>
      </c>
      <c r="G60" s="25">
        <v>3</v>
      </c>
      <c r="H60" s="25">
        <f>G60+1</f>
        <v>4</v>
      </c>
      <c r="I60" s="25">
        <f>H60+1</f>
        <v>5</v>
      </c>
    </row>
    <row r="61" spans="1:9" x14ac:dyDescent="0.2">
      <c r="A61" s="7"/>
      <c r="B61" s="7" t="s">
        <v>38</v>
      </c>
      <c r="C61" s="5"/>
      <c r="D61" s="5"/>
      <c r="E61" s="5">
        <f>E57</f>
        <v>4534023.3652999997</v>
      </c>
      <c r="F61" s="5">
        <f t="shared" ref="F61:I61" si="13">F57</f>
        <v>7677115.5903000003</v>
      </c>
      <c r="G61" s="5">
        <f t="shared" si="13"/>
        <v>10515469.0953</v>
      </c>
      <c r="H61" s="5">
        <f t="shared" si="13"/>
        <v>10475320.17155</v>
      </c>
      <c r="I61" s="5">
        <f t="shared" si="13"/>
        <v>10435171.2478</v>
      </c>
    </row>
    <row r="62" spans="1:9" ht="15" x14ac:dyDescent="0.25">
      <c r="A62" s="7"/>
      <c r="B62" s="7" t="s">
        <v>28</v>
      </c>
      <c r="C62" s="5"/>
      <c r="D62" s="5">
        <f>D40</f>
        <v>-3490468.3333333335</v>
      </c>
      <c r="E62" s="5">
        <f t="shared" ref="E62:I62" si="14">E40</f>
        <v>-368366.26666666614</v>
      </c>
      <c r="F62" s="5">
        <f t="shared" si="14"/>
        <v>-1929417.2999999998</v>
      </c>
      <c r="G62" s="5">
        <f t="shared" si="14"/>
        <v>-1929417.2999999998</v>
      </c>
      <c r="H62" s="5">
        <f t="shared" si="14"/>
        <v>0</v>
      </c>
      <c r="I62" s="5">
        <f t="shared" si="14"/>
        <v>7717669.1999999993</v>
      </c>
    </row>
    <row r="63" spans="1:9" ht="13.5" thickBot="1" x14ac:dyDescent="0.25">
      <c r="A63" s="7"/>
      <c r="B63" s="7" t="s">
        <v>40</v>
      </c>
      <c r="C63" s="5"/>
      <c r="D63" s="29">
        <f>-Computations!B8</f>
        <v>-21294000</v>
      </c>
      <c r="E63" s="29"/>
      <c r="F63" s="29"/>
      <c r="G63" s="29"/>
      <c r="H63" s="29"/>
      <c r="I63" s="29">
        <f>D32</f>
        <v>0</v>
      </c>
    </row>
    <row r="64" spans="1:9" x14ac:dyDescent="0.2">
      <c r="A64" s="7"/>
      <c r="B64" s="7" t="s">
        <v>41</v>
      </c>
      <c r="C64" s="5"/>
      <c r="D64" s="5">
        <f>SUM(D61:D63)</f>
        <v>-24784468.333333332</v>
      </c>
      <c r="E64" s="5">
        <f t="shared" ref="E64:I64" si="15">SUM(E61:E63)</f>
        <v>4165657.0986333336</v>
      </c>
      <c r="F64" s="5">
        <f t="shared" si="15"/>
        <v>5747698.2903000005</v>
      </c>
      <c r="G64" s="5">
        <f t="shared" si="15"/>
        <v>8586051.7952999994</v>
      </c>
      <c r="H64" s="5">
        <f t="shared" si="15"/>
        <v>10475320.17155</v>
      </c>
      <c r="I64" s="5">
        <f t="shared" si="15"/>
        <v>18152840.447799999</v>
      </c>
    </row>
    <row r="65" spans="1:9" x14ac:dyDescent="0.2">
      <c r="A65" s="7"/>
      <c r="B65" s="7"/>
      <c r="C65" s="5"/>
      <c r="D65" s="5"/>
      <c r="E65" s="5"/>
      <c r="F65" s="5"/>
      <c r="G65" s="5"/>
      <c r="H65" s="5"/>
      <c r="I65" s="5"/>
    </row>
    <row r="66" spans="1:9" x14ac:dyDescent="0.2">
      <c r="A66" s="7"/>
      <c r="B66" s="7" t="s">
        <v>42</v>
      </c>
      <c r="C66" s="5"/>
      <c r="D66" s="5">
        <f>D64/(1+$C14)^D60</f>
        <v>-24784468.333333332</v>
      </c>
      <c r="E66" s="5">
        <f t="shared" ref="E66:I66" si="16">E64/(1+$C14)^E60</f>
        <v>3471380.9155277782</v>
      </c>
      <c r="F66" s="5">
        <f t="shared" si="16"/>
        <v>3991457.1460416671</v>
      </c>
      <c r="G66" s="5">
        <f t="shared" si="16"/>
        <v>4968779.9741319446</v>
      </c>
      <c r="H66" s="5">
        <f t="shared" si="16"/>
        <v>5051755.4839650849</v>
      </c>
      <c r="I66" s="5">
        <f t="shared" si="16"/>
        <v>7295219.444364069</v>
      </c>
    </row>
    <row r="67" spans="1:9" x14ac:dyDescent="0.2">
      <c r="A67" s="7"/>
      <c r="B67" s="7"/>
      <c r="C67" s="5"/>
      <c r="D67" s="5"/>
      <c r="E67" s="5"/>
      <c r="F67" s="5"/>
      <c r="G67" s="5"/>
      <c r="H67" s="5"/>
      <c r="I67" s="5"/>
    </row>
    <row r="68" spans="1:9" ht="13.5" thickBot="1" x14ac:dyDescent="0.25">
      <c r="A68" s="7"/>
      <c r="B68" s="7"/>
      <c r="C68" s="5"/>
      <c r="D68" s="5"/>
      <c r="E68" s="5"/>
      <c r="F68" s="5"/>
      <c r="G68" s="5"/>
      <c r="H68" s="5"/>
      <c r="I68" s="5"/>
    </row>
    <row r="69" spans="1:9" ht="13.5" thickTop="1" x14ac:dyDescent="0.2">
      <c r="A69" s="7"/>
      <c r="B69" s="33" t="s">
        <v>43</v>
      </c>
      <c r="C69" s="34"/>
      <c r="D69" s="183">
        <f>SUM(D66:I66)</f>
        <v>-5875.3693027840927</v>
      </c>
      <c r="E69" s="35"/>
      <c r="F69" s="5"/>
      <c r="G69" s="5"/>
      <c r="H69" s="5"/>
      <c r="I69" s="5"/>
    </row>
    <row r="70" spans="1:9" ht="13.5" thickBot="1" x14ac:dyDescent="0.25">
      <c r="A70" s="7"/>
      <c r="B70" s="36" t="s">
        <v>44</v>
      </c>
      <c r="C70" s="23"/>
      <c r="D70" s="104">
        <f>IRR(D64:I64)</f>
        <v>0.19991511449754928</v>
      </c>
      <c r="E70" s="35"/>
      <c r="F70" s="5"/>
      <c r="G70" s="5"/>
      <c r="H70" s="5"/>
      <c r="I70" s="5"/>
    </row>
    <row r="71" spans="1:9" x14ac:dyDescent="0.2">
      <c r="A71" s="7"/>
      <c r="B71" s="7"/>
      <c r="C71" s="5"/>
      <c r="D71" s="5"/>
      <c r="E71" s="5"/>
      <c r="F71" s="5"/>
      <c r="G71" s="5"/>
      <c r="H71" s="5"/>
      <c r="I71" s="5"/>
    </row>
  </sheetData>
  <conditionalFormatting sqref="D69">
    <cfRule type="cellIs" dxfId="0" priority="1" operator="lessThan">
      <formula>0</formula>
    </cfRule>
  </conditionalFormatting>
  <pageMargins left="0.7" right="0.7" top="0.75" bottom="0.75" header="0.3" footer="0.3"/>
  <pageSetup scale="69" orientation="portrait" horizontalDpi="360" verticalDpi="36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27C8-71C2-4A37-8769-0D34FEE93275}">
  <sheetPr codeName="Sheet8"/>
  <dimension ref="A1:AP177"/>
  <sheetViews>
    <sheetView tabSelected="1" topLeftCell="T6" zoomScaleNormal="100" workbookViewId="0">
      <selection activeCell="AJ19" sqref="AJ19"/>
    </sheetView>
  </sheetViews>
  <sheetFormatPr defaultColWidth="9.140625" defaultRowHeight="12.75" customHeight="1" x14ac:dyDescent="0.2"/>
  <cols>
    <col min="1" max="1" width="26.7109375" style="1" customWidth="1"/>
    <col min="2" max="2" width="13.140625" style="1" bestFit="1" customWidth="1"/>
    <col min="3" max="6" width="12.85546875" style="1" bestFit="1" customWidth="1"/>
    <col min="7" max="9" width="13" style="1" bestFit="1" customWidth="1"/>
    <col min="10" max="11" width="9.140625" style="1"/>
    <col min="12" max="12" width="10.7109375" style="1" bestFit="1" customWidth="1"/>
    <col min="13" max="13" width="9.85546875" style="1" bestFit="1" customWidth="1"/>
    <col min="14" max="14" width="13.28515625" style="1" bestFit="1" customWidth="1"/>
    <col min="15" max="15" width="11.85546875" style="1" bestFit="1" customWidth="1"/>
    <col min="16" max="20" width="9.140625" style="1"/>
    <col min="21" max="21" width="9.85546875" style="1" customWidth="1"/>
    <col min="22" max="22" width="9.28515625" style="1" bestFit="1" customWidth="1"/>
    <col min="23" max="28" width="9.140625" style="1"/>
    <col min="29" max="33" width="13.85546875" style="1" bestFit="1" customWidth="1"/>
    <col min="34" max="37" width="13" style="1" bestFit="1" customWidth="1"/>
    <col min="38" max="16384" width="9.140625" style="1"/>
  </cols>
  <sheetData>
    <row r="1" spans="1:42" ht="13.5" thickBot="1" x14ac:dyDescent="0.25">
      <c r="B1" s="1" t="s">
        <v>91</v>
      </c>
    </row>
    <row r="2" spans="1:42" ht="16.5" thickBot="1" x14ac:dyDescent="0.3">
      <c r="K2" s="1" t="s">
        <v>92</v>
      </c>
      <c r="R2" s="105"/>
      <c r="S2" s="106"/>
      <c r="T2" s="106"/>
      <c r="U2" s="106"/>
      <c r="V2" s="106"/>
      <c r="W2" s="106"/>
      <c r="X2" s="106"/>
      <c r="Y2" s="247" t="s">
        <v>93</v>
      </c>
      <c r="Z2" s="247"/>
      <c r="AA2" s="247"/>
      <c r="AB2" s="247"/>
      <c r="AC2" s="247"/>
      <c r="AD2" s="247"/>
      <c r="AE2" s="107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8"/>
    </row>
    <row r="3" spans="1:42" ht="12.95" customHeight="1" x14ac:dyDescent="0.2">
      <c r="A3" s="57" t="s">
        <v>356</v>
      </c>
      <c r="B3" s="166" t="s">
        <v>247</v>
      </c>
      <c r="C3" s="83"/>
      <c r="K3" s="243" t="s">
        <v>94</v>
      </c>
      <c r="L3" s="244"/>
      <c r="M3" s="244"/>
      <c r="N3" s="244"/>
      <c r="O3" s="245"/>
      <c r="R3" s="109"/>
      <c r="AP3" s="110"/>
    </row>
    <row r="4" spans="1:42" ht="15" customHeight="1" x14ac:dyDescent="0.25">
      <c r="A4" s="1" t="s">
        <v>95</v>
      </c>
      <c r="B4" s="58">
        <v>1499.99</v>
      </c>
      <c r="C4"/>
      <c r="K4" s="240" t="s">
        <v>96</v>
      </c>
      <c r="L4" s="241"/>
      <c r="M4" s="241"/>
      <c r="N4" s="241"/>
      <c r="O4" s="242"/>
      <c r="R4" s="109"/>
      <c r="AE4" s="248" t="s">
        <v>97</v>
      </c>
      <c r="AF4" s="248"/>
      <c r="AG4" s="248"/>
      <c r="AH4" s="248"/>
      <c r="AI4" s="248"/>
      <c r="AJ4" s="246" t="s">
        <v>98</v>
      </c>
      <c r="AK4" s="246"/>
      <c r="AL4" s="246"/>
      <c r="AM4" s="246"/>
      <c r="AN4" s="246"/>
      <c r="AO4" s="246"/>
      <c r="AP4" s="113"/>
    </row>
    <row r="5" spans="1:42" ht="15" x14ac:dyDescent="0.25">
      <c r="A5" s="1" t="s">
        <v>99</v>
      </c>
      <c r="B5" s="132">
        <f>Salaries!J16</f>
        <v>26</v>
      </c>
      <c r="C5"/>
      <c r="K5" s="86" t="s">
        <v>100</v>
      </c>
      <c r="L5" s="87"/>
      <c r="M5" s="87"/>
      <c r="N5" s="87"/>
      <c r="O5" s="94"/>
      <c r="R5" s="109"/>
      <c r="W5" s="248" t="s">
        <v>101</v>
      </c>
      <c r="X5" s="248"/>
      <c r="Y5" s="248"/>
      <c r="Z5" s="248"/>
      <c r="AE5" s="101" t="s">
        <v>102</v>
      </c>
      <c r="AF5" s="101" t="s">
        <v>103</v>
      </c>
      <c r="AG5" s="101" t="s">
        <v>104</v>
      </c>
      <c r="AH5" s="101" t="s">
        <v>105</v>
      </c>
      <c r="AI5" s="101" t="s">
        <v>106</v>
      </c>
      <c r="AJ5" s="246"/>
      <c r="AK5" s="246"/>
      <c r="AL5" s="246"/>
      <c r="AM5" s="246"/>
      <c r="AN5" s="246"/>
      <c r="AO5" s="246"/>
      <c r="AP5" s="113"/>
    </row>
    <row r="6" spans="1:42" x14ac:dyDescent="0.2">
      <c r="A6" s="1" t="s">
        <v>107</v>
      </c>
      <c r="B6" s="58">
        <f>B4*B5</f>
        <v>38999.74</v>
      </c>
      <c r="C6"/>
      <c r="K6" s="86"/>
      <c r="L6" s="87"/>
      <c r="M6" s="87"/>
      <c r="N6" s="87"/>
      <c r="O6" s="94"/>
      <c r="R6" s="109"/>
      <c r="V6" s="1">
        <v>24000000000000</v>
      </c>
      <c r="W6" s="1" t="s">
        <v>351</v>
      </c>
      <c r="Z6" s="58">
        <v>0.01</v>
      </c>
      <c r="AD6" s="102" t="s">
        <v>108</v>
      </c>
      <c r="AE6" s="111">
        <f>'Sales Forecast'!F12*100</f>
        <v>41700</v>
      </c>
      <c r="AF6" s="111">
        <f>'Sales Forecast'!F13*100</f>
        <v>62550</v>
      </c>
      <c r="AG6" s="111">
        <f>'Sales Forecast'!F14*100</f>
        <v>83400</v>
      </c>
      <c r="AH6" s="111">
        <f>'Sales Forecast'!F15*100</f>
        <v>83400</v>
      </c>
      <c r="AI6" s="111">
        <f>'Sales Forecast'!F16*100</f>
        <v>83400</v>
      </c>
      <c r="AP6" s="110"/>
    </row>
    <row r="7" spans="1:42" x14ac:dyDescent="0.2">
      <c r="A7" s="1" t="s">
        <v>109</v>
      </c>
      <c r="B7" s="1">
        <v>5</v>
      </c>
      <c r="C7"/>
      <c r="K7" s="86"/>
      <c r="L7" s="87"/>
      <c r="M7" s="87"/>
      <c r="N7" s="87"/>
      <c r="O7" s="94"/>
      <c r="R7" s="109"/>
      <c r="X7" s="1" t="s">
        <v>110</v>
      </c>
      <c r="AD7" s="102" t="s">
        <v>111</v>
      </c>
      <c r="AE7" s="111">
        <f>'Sales Forecast'!F20*200</f>
        <v>417000</v>
      </c>
      <c r="AF7" s="111">
        <f>'Sales Forecast'!F21*200</f>
        <v>625500</v>
      </c>
      <c r="AG7" s="111">
        <f>'Sales Forecast'!F22*200</f>
        <v>834000</v>
      </c>
      <c r="AH7" s="111">
        <f>'Sales Forecast'!F23*200</f>
        <v>834000</v>
      </c>
      <c r="AI7" s="111">
        <f>'Sales Forecast'!F24*200</f>
        <v>834000</v>
      </c>
      <c r="AP7" s="110"/>
    </row>
    <row r="8" spans="1:42" ht="12.75" customHeight="1" x14ac:dyDescent="0.2">
      <c r="A8" s="1" t="s">
        <v>112</v>
      </c>
      <c r="B8" s="100">
        <f>B36</f>
        <v>21294000</v>
      </c>
      <c r="C8"/>
      <c r="K8" s="86"/>
      <c r="L8" s="87"/>
      <c r="M8" s="87"/>
      <c r="N8" s="87"/>
      <c r="O8" s="94"/>
      <c r="R8" s="109"/>
      <c r="W8" s="112" t="s">
        <v>113</v>
      </c>
      <c r="AD8" s="102" t="s">
        <v>114</v>
      </c>
      <c r="AE8" s="111">
        <f>'Sales Forecast'!F28*300</f>
        <v>83400</v>
      </c>
      <c r="AF8" s="111">
        <f>'Sales Forecast'!F29*300</f>
        <v>125100</v>
      </c>
      <c r="AG8" s="111">
        <f>'Sales Forecast'!F30*300</f>
        <v>166800</v>
      </c>
      <c r="AH8" s="111">
        <f>'Sales Forecast'!F31*300</f>
        <v>166800</v>
      </c>
      <c r="AI8" s="111">
        <f>'Sales Forecast'!F32*300</f>
        <v>166800</v>
      </c>
      <c r="AJ8" s="246" t="s">
        <v>115</v>
      </c>
      <c r="AK8" s="246"/>
      <c r="AL8" s="246"/>
      <c r="AM8" s="246"/>
      <c r="AN8" s="246"/>
      <c r="AO8" s="246"/>
      <c r="AP8" s="113"/>
    </row>
    <row r="9" spans="1:42" ht="15" x14ac:dyDescent="0.25">
      <c r="A9" s="99" t="s">
        <v>109</v>
      </c>
      <c r="B9" s="1">
        <v>5</v>
      </c>
      <c r="C9"/>
      <c r="K9" s="86"/>
      <c r="L9" s="87"/>
      <c r="M9" s="87"/>
      <c r="N9" s="87"/>
      <c r="O9" s="94"/>
      <c r="R9" s="109"/>
      <c r="W9" s="1" t="s">
        <v>116</v>
      </c>
      <c r="Z9" s="1">
        <v>800000000000</v>
      </c>
      <c r="AA9" s="1" t="s">
        <v>117</v>
      </c>
      <c r="AJ9" s="246"/>
      <c r="AK9" s="246"/>
      <c r="AL9" s="246"/>
      <c r="AM9" s="246"/>
      <c r="AN9" s="246"/>
      <c r="AO9" s="246"/>
      <c r="AP9" s="113"/>
    </row>
    <row r="10" spans="1:42" x14ac:dyDescent="0.2">
      <c r="A10" s="1" t="s">
        <v>355</v>
      </c>
      <c r="B10" s="167">
        <f>(B6/B7)+(B8/B9)</f>
        <v>4266599.9479999999</v>
      </c>
      <c r="C10"/>
      <c r="K10" s="86"/>
      <c r="L10" s="87"/>
      <c r="M10" s="87"/>
      <c r="N10" s="87"/>
      <c r="O10" s="94"/>
      <c r="R10" s="109"/>
      <c r="W10" s="1" t="s">
        <v>118</v>
      </c>
      <c r="Z10" s="1">
        <v>8760</v>
      </c>
      <c r="AA10" s="1" t="s">
        <v>119</v>
      </c>
      <c r="AP10" s="110"/>
    </row>
    <row r="11" spans="1:42" ht="15" customHeight="1" x14ac:dyDescent="0.25">
      <c r="K11" s="86"/>
      <c r="L11" s="87"/>
      <c r="M11" s="87"/>
      <c r="N11" s="87"/>
      <c r="O11" s="94"/>
      <c r="R11" s="109"/>
      <c r="AE11" s="248" t="s">
        <v>120</v>
      </c>
      <c r="AF11" s="248"/>
      <c r="AG11" s="248"/>
      <c r="AH11" s="248"/>
      <c r="AI11" s="248"/>
      <c r="AJ11" s="246" t="s">
        <v>121</v>
      </c>
      <c r="AK11" s="246"/>
      <c r="AL11" s="246"/>
      <c r="AM11" s="246"/>
      <c r="AN11" s="246"/>
      <c r="AO11" s="246"/>
      <c r="AP11" s="249"/>
    </row>
    <row r="12" spans="1:42" x14ac:dyDescent="0.2">
      <c r="A12" s="57" t="s">
        <v>122</v>
      </c>
      <c r="B12" s="166" t="s">
        <v>94</v>
      </c>
      <c r="C12" s="166" t="s">
        <v>247</v>
      </c>
      <c r="D12" s="166" t="s">
        <v>248</v>
      </c>
      <c r="K12" s="86"/>
      <c r="O12" s="95"/>
      <c r="R12" s="109"/>
      <c r="W12" s="112" t="s">
        <v>123</v>
      </c>
      <c r="AE12" s="101" t="s">
        <v>102</v>
      </c>
      <c r="AF12" s="101" t="s">
        <v>103</v>
      </c>
      <c r="AG12" s="101" t="s">
        <v>104</v>
      </c>
      <c r="AH12" s="101" t="s">
        <v>105</v>
      </c>
      <c r="AI12" s="101" t="s">
        <v>106</v>
      </c>
      <c r="AJ12" s="246"/>
      <c r="AK12" s="246"/>
      <c r="AL12" s="246"/>
      <c r="AM12" s="246"/>
      <c r="AN12" s="246"/>
      <c r="AO12" s="246"/>
      <c r="AP12" s="249"/>
    </row>
    <row r="13" spans="1:42" x14ac:dyDescent="0.2">
      <c r="A13" s="1" t="s">
        <v>124</v>
      </c>
      <c r="B13" s="58">
        <v>500000</v>
      </c>
      <c r="C13" s="58">
        <v>500000</v>
      </c>
      <c r="D13" s="58">
        <v>500000</v>
      </c>
      <c r="K13" s="86"/>
      <c r="N13" s="83"/>
      <c r="O13" s="90"/>
      <c r="R13" s="109"/>
      <c r="W13" s="1" t="s">
        <v>116</v>
      </c>
      <c r="Z13" s="1">
        <v>1200000000000</v>
      </c>
      <c r="AA13" s="1" t="s">
        <v>125</v>
      </c>
      <c r="AD13" s="102" t="s">
        <v>108</v>
      </c>
      <c r="AE13" s="111">
        <f>$Z$31*AE6</f>
        <v>658026000</v>
      </c>
      <c r="AF13" s="111">
        <f t="shared" ref="AE13:AI15" si="0">$Z$31*AF6</f>
        <v>987039000</v>
      </c>
      <c r="AG13" s="111">
        <f t="shared" si="0"/>
        <v>1316052000</v>
      </c>
      <c r="AH13" s="111">
        <f t="shared" si="0"/>
        <v>1316052000</v>
      </c>
      <c r="AI13" s="111">
        <f t="shared" si="0"/>
        <v>1316052000</v>
      </c>
      <c r="AP13" s="110"/>
    </row>
    <row r="14" spans="1:42" x14ac:dyDescent="0.2">
      <c r="A14" s="1" t="s">
        <v>126</v>
      </c>
      <c r="B14" s="58">
        <v>820365</v>
      </c>
      <c r="C14" s="58">
        <v>820365</v>
      </c>
      <c r="D14" s="58">
        <v>820365</v>
      </c>
      <c r="K14" s="86"/>
      <c r="O14" s="90"/>
      <c r="R14" s="109"/>
      <c r="W14" s="1" t="s">
        <v>118</v>
      </c>
      <c r="Z14" s="1">
        <v>2340</v>
      </c>
      <c r="AA14" s="1" t="s">
        <v>127</v>
      </c>
      <c r="AD14" s="102" t="s">
        <v>111</v>
      </c>
      <c r="AE14" s="111">
        <f t="shared" si="0"/>
        <v>6580260000</v>
      </c>
      <c r="AF14" s="111">
        <f t="shared" si="0"/>
        <v>9870390000</v>
      </c>
      <c r="AG14" s="111">
        <f t="shared" si="0"/>
        <v>13160520000</v>
      </c>
      <c r="AH14" s="111">
        <f t="shared" si="0"/>
        <v>13160520000</v>
      </c>
      <c r="AI14" s="111">
        <f t="shared" si="0"/>
        <v>13160520000</v>
      </c>
      <c r="AP14" s="110"/>
    </row>
    <row r="15" spans="1:42" ht="12.95" customHeight="1" x14ac:dyDescent="0.2">
      <c r="A15" s="1" t="s">
        <v>128</v>
      </c>
      <c r="B15" s="58">
        <f>100000*2.2</f>
        <v>220000.00000000003</v>
      </c>
      <c r="C15" s="58">
        <f>100000*2.2</f>
        <v>220000.00000000003</v>
      </c>
      <c r="D15" s="58">
        <f>100000*2.2</f>
        <v>220000.00000000003</v>
      </c>
      <c r="K15" s="240" t="s">
        <v>129</v>
      </c>
      <c r="L15" s="241"/>
      <c r="M15" s="241"/>
      <c r="N15" s="241"/>
      <c r="O15" s="242"/>
      <c r="R15" s="109"/>
      <c r="AD15" s="102" t="s">
        <v>114</v>
      </c>
      <c r="AE15" s="111">
        <f t="shared" si="0"/>
        <v>1316052000</v>
      </c>
      <c r="AF15" s="111">
        <f t="shared" si="0"/>
        <v>1974078000</v>
      </c>
      <c r="AG15" s="111">
        <f t="shared" si="0"/>
        <v>2632104000</v>
      </c>
      <c r="AH15" s="111">
        <f t="shared" si="0"/>
        <v>2632104000</v>
      </c>
      <c r="AI15" s="111">
        <f t="shared" si="0"/>
        <v>2632104000</v>
      </c>
      <c r="AP15" s="110"/>
    </row>
    <row r="16" spans="1:42" ht="13.5" customHeight="1" x14ac:dyDescent="0.2">
      <c r="A16" s="1" t="s">
        <v>130</v>
      </c>
      <c r="B16" s="79">
        <f>O22</f>
        <v>915208.33333333337</v>
      </c>
      <c r="C16" s="58">
        <f>Salaries!J15</f>
        <v>2684500</v>
      </c>
      <c r="D16" s="85">
        <f>Salaries!J36-(Salaries!J36-Salaries!J15)</f>
        <v>2684500</v>
      </c>
      <c r="K16" s="86" t="s">
        <v>131</v>
      </c>
      <c r="L16" s="87">
        <f>Salaries!B5</f>
        <v>190000</v>
      </c>
      <c r="M16" s="87">
        <f>L16/12</f>
        <v>15833.333333333334</v>
      </c>
      <c r="N16" s="185">
        <v>11.5</v>
      </c>
      <c r="O16" s="88">
        <f t="shared" ref="O16:O21" si="1">M16*N16</f>
        <v>182083.33333333334</v>
      </c>
      <c r="R16" s="109"/>
      <c r="W16" s="112" t="s">
        <v>132</v>
      </c>
      <c r="AP16" s="110"/>
    </row>
    <row r="17" spans="1:42" ht="13.5" customHeight="1" x14ac:dyDescent="0.2">
      <c r="A17" s="1" t="s">
        <v>133</v>
      </c>
      <c r="B17" s="58">
        <v>1090</v>
      </c>
      <c r="C17" s="58">
        <v>1090</v>
      </c>
      <c r="D17" s="58">
        <v>1090</v>
      </c>
      <c r="K17" s="86" t="s">
        <v>134</v>
      </c>
      <c r="L17" s="87">
        <f>Salaries!E5</f>
        <v>175000</v>
      </c>
      <c r="M17" s="87">
        <f t="shared" ref="M17:M21" si="2">L17/12</f>
        <v>14583.333333333334</v>
      </c>
      <c r="N17" s="185">
        <v>11.5</v>
      </c>
      <c r="O17" s="88">
        <f t="shared" si="1"/>
        <v>167708.33333333334</v>
      </c>
      <c r="R17" s="109"/>
      <c r="W17" s="1" t="s">
        <v>116</v>
      </c>
      <c r="Z17" s="1">
        <v>1500000000000</v>
      </c>
      <c r="AA17" s="1" t="s">
        <v>135</v>
      </c>
      <c r="AP17" s="110"/>
    </row>
    <row r="18" spans="1:42" ht="13.5" customHeight="1" x14ac:dyDescent="0.25">
      <c r="A18" s="1" t="s">
        <v>246</v>
      </c>
      <c r="B18" s="58">
        <v>119800</v>
      </c>
      <c r="C18" s="58">
        <v>119800</v>
      </c>
      <c r="D18" s="58">
        <v>119800</v>
      </c>
      <c r="K18" s="86" t="s">
        <v>137</v>
      </c>
      <c r="L18" s="87">
        <f>Salaries!H5</f>
        <v>140000</v>
      </c>
      <c r="M18" s="87">
        <f t="shared" si="2"/>
        <v>11666.666666666666</v>
      </c>
      <c r="N18" s="185">
        <v>11.5</v>
      </c>
      <c r="O18" s="88">
        <f t="shared" si="1"/>
        <v>134166.66666666666</v>
      </c>
      <c r="R18" s="109"/>
      <c r="W18" s="1" t="s">
        <v>118</v>
      </c>
      <c r="Z18" s="1">
        <v>2340</v>
      </c>
      <c r="AA18" s="1" t="s">
        <v>127</v>
      </c>
      <c r="AE18" s="251" t="s">
        <v>138</v>
      </c>
      <c r="AF18" s="251"/>
      <c r="AG18" s="251"/>
      <c r="AH18" s="251"/>
      <c r="AI18" s="251"/>
      <c r="AP18" s="110"/>
    </row>
    <row r="19" spans="1:42" ht="13.5" customHeight="1" x14ac:dyDescent="0.2">
      <c r="A19" s="1" t="s">
        <v>253</v>
      </c>
      <c r="B19" s="190">
        <f>'Promotional Plan'!E22</f>
        <v>914005</v>
      </c>
      <c r="C19" s="58">
        <f>'Promotional Plan'!K35+'Promotional Plan'!Q25</f>
        <v>280693.66000000003</v>
      </c>
      <c r="D19" s="79">
        <f>'Promotional Plan'!W12</f>
        <v>60000</v>
      </c>
      <c r="K19" s="86" t="s">
        <v>139</v>
      </c>
      <c r="L19" s="87">
        <f>Salaries!K5</f>
        <v>185000</v>
      </c>
      <c r="M19" s="87">
        <f t="shared" si="2"/>
        <v>15416.666666666666</v>
      </c>
      <c r="N19" s="185">
        <v>11.5</v>
      </c>
      <c r="O19" s="88">
        <f t="shared" si="1"/>
        <v>177291.66666666666</v>
      </c>
      <c r="R19" s="109"/>
      <c r="AE19" s="101" t="s">
        <v>102</v>
      </c>
      <c r="AF19" s="101" t="s">
        <v>103</v>
      </c>
      <c r="AG19" s="101" t="s">
        <v>104</v>
      </c>
      <c r="AH19" s="101" t="s">
        <v>105</v>
      </c>
      <c r="AI19" s="101" t="s">
        <v>106</v>
      </c>
      <c r="AP19" s="110"/>
    </row>
    <row r="20" spans="1:42" x14ac:dyDescent="0.2">
      <c r="A20" s="1" t="s">
        <v>136</v>
      </c>
      <c r="B20" s="167">
        <f>SUM(B13:B19)</f>
        <v>3490468.3333333335</v>
      </c>
      <c r="C20" s="167">
        <f>SUM(C13:C19)</f>
        <v>4626448.66</v>
      </c>
      <c r="D20" s="167">
        <f>SUM(D13:D19)</f>
        <v>4405755</v>
      </c>
      <c r="K20" s="86" t="s">
        <v>140</v>
      </c>
      <c r="L20" s="87">
        <f>Salaries!Q8</f>
        <v>90000</v>
      </c>
      <c r="M20" s="87">
        <f t="shared" si="2"/>
        <v>7500</v>
      </c>
      <c r="N20" s="185">
        <v>11.5</v>
      </c>
      <c r="O20" s="88">
        <f t="shared" si="1"/>
        <v>86250</v>
      </c>
      <c r="R20" s="109"/>
      <c r="W20" s="112" t="s">
        <v>141</v>
      </c>
      <c r="AD20" s="102" t="s">
        <v>108</v>
      </c>
      <c r="AE20" s="114">
        <f>$Z$30*AE13</f>
        <v>1124127.75</v>
      </c>
      <c r="AF20" s="114">
        <f t="shared" ref="AE20:AI22" si="3">$Z$30*AF13</f>
        <v>1686191.625</v>
      </c>
      <c r="AG20" s="114">
        <f t="shared" si="3"/>
        <v>2248255.5</v>
      </c>
      <c r="AH20" s="114">
        <f t="shared" si="3"/>
        <v>2248255.5</v>
      </c>
      <c r="AI20" s="114">
        <f t="shared" si="3"/>
        <v>2248255.5</v>
      </c>
      <c r="AP20" s="110"/>
    </row>
    <row r="21" spans="1:42" x14ac:dyDescent="0.2">
      <c r="K21" s="86" t="s">
        <v>143</v>
      </c>
      <c r="L21" s="87">
        <f>Salaries!T5</f>
        <v>175000</v>
      </c>
      <c r="M21" s="87">
        <f t="shared" si="2"/>
        <v>14583.333333333334</v>
      </c>
      <c r="N21" s="185">
        <v>11.5</v>
      </c>
      <c r="O21" s="88">
        <f t="shared" si="1"/>
        <v>167708.33333333334</v>
      </c>
      <c r="R21" s="109"/>
      <c r="W21" s="1" t="s">
        <v>116</v>
      </c>
      <c r="Z21" s="1">
        <v>600000000000</v>
      </c>
      <c r="AA21" s="1" t="s">
        <v>144</v>
      </c>
      <c r="AD21" s="102" t="s">
        <v>111</v>
      </c>
      <c r="AE21" s="114">
        <f>$Z$30*AE14</f>
        <v>11241277.5</v>
      </c>
      <c r="AF21" s="114">
        <f t="shared" si="3"/>
        <v>16861916.25</v>
      </c>
      <c r="AG21" s="114">
        <f t="shared" si="3"/>
        <v>22482555</v>
      </c>
      <c r="AH21" s="114">
        <f t="shared" si="3"/>
        <v>22482555</v>
      </c>
      <c r="AI21" s="114">
        <f t="shared" si="3"/>
        <v>22482555</v>
      </c>
      <c r="AP21" s="110"/>
    </row>
    <row r="22" spans="1:42" x14ac:dyDescent="0.2">
      <c r="A22" s="57" t="s">
        <v>360</v>
      </c>
      <c r="K22" s="86"/>
      <c r="O22" s="89">
        <f>SUM(O16:O21)</f>
        <v>915208.33333333337</v>
      </c>
      <c r="R22" s="109"/>
      <c r="W22" s="1" t="s">
        <v>118</v>
      </c>
      <c r="Z22" s="1">
        <v>2340</v>
      </c>
      <c r="AA22" s="1" t="s">
        <v>127</v>
      </c>
      <c r="AD22" s="102" t="s">
        <v>114</v>
      </c>
      <c r="AE22" s="114">
        <f t="shared" si="3"/>
        <v>2248255.5</v>
      </c>
      <c r="AF22" s="114">
        <f t="shared" si="3"/>
        <v>3372383.25</v>
      </c>
      <c r="AG22" s="114">
        <f t="shared" si="3"/>
        <v>4496511</v>
      </c>
      <c r="AH22" s="114">
        <f t="shared" si="3"/>
        <v>4496511</v>
      </c>
      <c r="AI22" s="114">
        <f t="shared" si="3"/>
        <v>4496511</v>
      </c>
      <c r="AP22" s="110"/>
    </row>
    <row r="23" spans="1:42" x14ac:dyDescent="0.2">
      <c r="A23" s="1" t="s">
        <v>142</v>
      </c>
      <c r="B23" s="58">
        <v>1000000</v>
      </c>
      <c r="K23" s="86"/>
      <c r="O23" s="90"/>
      <c r="R23" s="109"/>
      <c r="AP23" s="110"/>
    </row>
    <row r="24" spans="1:42" ht="13.5" thickBot="1" x14ac:dyDescent="0.25">
      <c r="A24" s="1" t="s">
        <v>153</v>
      </c>
      <c r="B24" s="58">
        <f>100*40*186</f>
        <v>744000</v>
      </c>
      <c r="K24" s="91"/>
      <c r="L24" s="92"/>
      <c r="M24" s="92"/>
      <c r="N24" s="92" t="s">
        <v>145</v>
      </c>
      <c r="O24" s="93">
        <f>O13-O22</f>
        <v>-915208.33333333337</v>
      </c>
      <c r="R24" s="250" t="s">
        <v>146</v>
      </c>
      <c r="S24" s="246"/>
      <c r="T24" s="246"/>
      <c r="U24" s="246"/>
      <c r="V24" s="246"/>
      <c r="W24" s="112" t="s">
        <v>147</v>
      </c>
      <c r="AP24" s="110"/>
    </row>
    <row r="25" spans="1:42" ht="15.75" thickBot="1" x14ac:dyDescent="0.3">
      <c r="A25" s="1" t="s">
        <v>154</v>
      </c>
      <c r="B25" s="58">
        <v>10000000</v>
      </c>
      <c r="R25" s="250"/>
      <c r="S25" s="246"/>
      <c r="T25" s="246"/>
      <c r="U25" s="246"/>
      <c r="V25" s="246"/>
      <c r="W25" s="1" t="s">
        <v>149</v>
      </c>
      <c r="Z25" s="1">
        <v>500000000000</v>
      </c>
      <c r="AA25" s="1" t="s">
        <v>150</v>
      </c>
      <c r="AE25" s="248" t="s">
        <v>151</v>
      </c>
      <c r="AF25" s="248"/>
      <c r="AG25" s="248"/>
      <c r="AH25" s="248"/>
      <c r="AI25" s="248"/>
      <c r="AJ25" s="246" t="s">
        <v>152</v>
      </c>
      <c r="AK25" s="246"/>
      <c r="AL25" s="246"/>
      <c r="AM25" s="246"/>
      <c r="AN25" s="246"/>
      <c r="AO25" s="246"/>
      <c r="AP25" s="113"/>
    </row>
    <row r="26" spans="1:42" ht="12.75" customHeight="1" x14ac:dyDescent="0.2">
      <c r="A26" s="1" t="s">
        <v>155</v>
      </c>
      <c r="B26" s="58">
        <v>450000</v>
      </c>
      <c r="K26" s="243" t="s">
        <v>102</v>
      </c>
      <c r="L26" s="244"/>
      <c r="M26" s="244"/>
      <c r="N26" s="244"/>
      <c r="O26" s="245"/>
      <c r="R26" s="250"/>
      <c r="S26" s="246"/>
      <c r="T26" s="246"/>
      <c r="U26" s="246"/>
      <c r="V26" s="246"/>
      <c r="W26" s="1" t="s">
        <v>118</v>
      </c>
      <c r="Z26" s="1">
        <v>8760</v>
      </c>
      <c r="AA26" s="1" t="s">
        <v>119</v>
      </c>
      <c r="AE26" s="101" t="s">
        <v>102</v>
      </c>
      <c r="AF26" s="101" t="s">
        <v>103</v>
      </c>
      <c r="AG26" s="101" t="s">
        <v>104</v>
      </c>
      <c r="AH26" s="101" t="s">
        <v>105</v>
      </c>
      <c r="AI26" s="101" t="s">
        <v>106</v>
      </c>
      <c r="AJ26" s="246"/>
      <c r="AK26" s="246"/>
      <c r="AL26" s="246"/>
      <c r="AM26" s="246"/>
      <c r="AN26" s="246"/>
      <c r="AO26" s="246"/>
      <c r="AP26" s="113"/>
    </row>
    <row r="27" spans="1:42" ht="15" customHeight="1" x14ac:dyDescent="0.2">
      <c r="A27" s="1" t="s">
        <v>157</v>
      </c>
      <c r="B27" s="58">
        <v>300000</v>
      </c>
      <c r="K27" s="240" t="s">
        <v>96</v>
      </c>
      <c r="L27" s="241"/>
      <c r="M27" s="241"/>
      <c r="N27" s="241"/>
      <c r="O27" s="242"/>
      <c r="R27" s="109"/>
      <c r="AD27" s="102" t="s">
        <v>108</v>
      </c>
      <c r="AE27" s="115">
        <f>'Sales Forecast'!F12*Z26</f>
        <v>3652920</v>
      </c>
      <c r="AF27" s="115">
        <f>'Sales Forecast'!F13*Computations!Z26</f>
        <v>5479380</v>
      </c>
      <c r="AG27" s="115">
        <f>'Sales Forecast'!F14*Computations!Z26</f>
        <v>7305840</v>
      </c>
      <c r="AH27" s="115">
        <f>Z26*'Sales Forecast'!F15</f>
        <v>7305840</v>
      </c>
      <c r="AI27" s="115">
        <f>Z26*'Sales Forecast'!F16</f>
        <v>7305840</v>
      </c>
      <c r="AP27" s="110"/>
    </row>
    <row r="28" spans="1:42" x14ac:dyDescent="0.2">
      <c r="A28" s="1" t="s">
        <v>159</v>
      </c>
      <c r="B28" s="58">
        <v>600000</v>
      </c>
      <c r="K28" s="86" t="s">
        <v>156</v>
      </c>
      <c r="L28" s="85"/>
      <c r="M28" s="85"/>
      <c r="N28" s="85"/>
      <c r="O28" s="88"/>
      <c r="R28" s="109"/>
      <c r="AD28" s="102" t="s">
        <v>111</v>
      </c>
      <c r="AE28" s="115">
        <f>Z26*'Sales Forecast'!F20</f>
        <v>18264600</v>
      </c>
      <c r="AF28" s="115">
        <f>Z26*'Sales Forecast'!F21</f>
        <v>27396900</v>
      </c>
      <c r="AG28" s="115">
        <f>Z26*'Sales Forecast'!F22</f>
        <v>36529200</v>
      </c>
      <c r="AH28" s="115">
        <f>Z26*'Sales Forecast'!F23</f>
        <v>36529200</v>
      </c>
      <c r="AI28" s="115">
        <f>Z26*'Sales Forecast'!F24</f>
        <v>36529200</v>
      </c>
      <c r="AP28" s="110"/>
    </row>
    <row r="29" spans="1:42" x14ac:dyDescent="0.2">
      <c r="A29" s="1" t="s">
        <v>161</v>
      </c>
      <c r="B29" s="58">
        <v>1500000</v>
      </c>
      <c r="K29" s="86"/>
      <c r="L29" s="85"/>
      <c r="M29" s="85"/>
      <c r="N29" s="85"/>
      <c r="O29" s="88"/>
      <c r="R29" s="109"/>
      <c r="W29" s="1" t="s">
        <v>158</v>
      </c>
      <c r="Z29" s="1">
        <f>SUM(Z9,Z13,Z17,Z21)</f>
        <v>4100000000000</v>
      </c>
      <c r="AD29" s="102" t="s">
        <v>114</v>
      </c>
      <c r="AE29" s="115">
        <f>Z26*'Sales Forecast'!F28</f>
        <v>2435280</v>
      </c>
      <c r="AF29" s="115">
        <f>Z26*'Sales Forecast'!F29</f>
        <v>3652920</v>
      </c>
      <c r="AG29" s="115">
        <f>Z26*'Sales Forecast'!F30</f>
        <v>4870560</v>
      </c>
      <c r="AH29" s="115">
        <f>Z26*'Sales Forecast'!F31</f>
        <v>4870560</v>
      </c>
      <c r="AI29" s="115">
        <f>Z26*'Sales Forecast'!F32</f>
        <v>4870560</v>
      </c>
      <c r="AP29" s="110"/>
    </row>
    <row r="30" spans="1:42" x14ac:dyDescent="0.2">
      <c r="A30" s="1" t="s">
        <v>57</v>
      </c>
      <c r="B30" s="58">
        <v>1700000</v>
      </c>
      <c r="K30" s="86"/>
      <c r="L30" s="85"/>
      <c r="M30" s="85"/>
      <c r="N30" s="85"/>
      <c r="O30" s="88"/>
      <c r="R30" s="109"/>
      <c r="W30" s="1" t="s">
        <v>160</v>
      </c>
      <c r="Z30" s="116">
        <f>(Z29/V6)*Z6</f>
        <v>1.7083333333333334E-3</v>
      </c>
      <c r="AP30" s="110"/>
    </row>
    <row r="31" spans="1:42" x14ac:dyDescent="0.2">
      <c r="A31" s="1" t="s">
        <v>58</v>
      </c>
      <c r="B31" s="58">
        <v>2000000</v>
      </c>
      <c r="K31" s="86"/>
      <c r="L31" s="85"/>
      <c r="M31" s="85"/>
      <c r="N31" s="85"/>
      <c r="O31" s="88"/>
      <c r="R31" s="109"/>
      <c r="W31" s="1" t="s">
        <v>162</v>
      </c>
      <c r="Z31" s="1">
        <f>SUM(Z10,Z14,Z18,Z22)</f>
        <v>15780</v>
      </c>
      <c r="AA31" s="124"/>
      <c r="AP31" s="110"/>
    </row>
    <row r="32" spans="1:42" ht="15" x14ac:dyDescent="0.25">
      <c r="A32" s="1" t="s">
        <v>59</v>
      </c>
      <c r="B32" s="58">
        <v>1500000</v>
      </c>
      <c r="K32" s="86"/>
      <c r="L32" s="85"/>
      <c r="M32" s="85"/>
      <c r="N32" s="85"/>
      <c r="O32" s="88"/>
      <c r="R32" s="109"/>
      <c r="AE32" s="251" t="s">
        <v>163</v>
      </c>
      <c r="AF32" s="251"/>
      <c r="AG32" s="251"/>
      <c r="AH32" s="251"/>
      <c r="AI32" s="251"/>
      <c r="AP32" s="110"/>
    </row>
    <row r="33" spans="1:42" x14ac:dyDescent="0.2">
      <c r="A33" s="1" t="s">
        <v>165</v>
      </c>
      <c r="B33" s="58">
        <v>500000</v>
      </c>
      <c r="K33" s="86"/>
      <c r="O33" s="89"/>
      <c r="R33" s="109"/>
      <c r="W33" s="1" t="s">
        <v>164</v>
      </c>
      <c r="Z33" s="117">
        <f>(Z25/V6)*Z6</f>
        <v>2.0833333333333332E-4</v>
      </c>
      <c r="AE33" s="101" t="s">
        <v>102</v>
      </c>
      <c r="AF33" s="101" t="s">
        <v>103</v>
      </c>
      <c r="AG33" s="101" t="s">
        <v>104</v>
      </c>
      <c r="AH33" s="101" t="s">
        <v>105</v>
      </c>
      <c r="AI33" s="101" t="s">
        <v>106</v>
      </c>
      <c r="AP33" s="110"/>
    </row>
    <row r="34" spans="1:42" x14ac:dyDescent="0.2">
      <c r="A34" s="1" t="s">
        <v>166</v>
      </c>
      <c r="B34" s="58">
        <v>1000000</v>
      </c>
      <c r="K34" s="86"/>
      <c r="N34" s="83"/>
      <c r="O34" s="90"/>
      <c r="R34" s="109"/>
      <c r="AD34" s="102" t="s">
        <v>108</v>
      </c>
      <c r="AE34" s="79">
        <f>$Z$33*AE27</f>
        <v>761.02499999999998</v>
      </c>
      <c r="AF34" s="79">
        <f t="shared" ref="AE34:AI36" si="4">$Z$33*AF27</f>
        <v>1141.5374999999999</v>
      </c>
      <c r="AG34" s="79">
        <f t="shared" si="4"/>
        <v>1522.05</v>
      </c>
      <c r="AH34" s="79">
        <f t="shared" si="4"/>
        <v>1522.05</v>
      </c>
      <c r="AI34" s="79">
        <f t="shared" si="4"/>
        <v>1522.05</v>
      </c>
      <c r="AP34" s="110"/>
    </row>
    <row r="35" spans="1:42" x14ac:dyDescent="0.2">
      <c r="K35" s="86"/>
      <c r="O35" s="90"/>
      <c r="R35" s="109"/>
      <c r="AD35" s="102" t="s">
        <v>111</v>
      </c>
      <c r="AE35" s="79">
        <f t="shared" si="4"/>
        <v>3805.1249999999995</v>
      </c>
      <c r="AF35" s="79">
        <f t="shared" si="4"/>
        <v>5707.6875</v>
      </c>
      <c r="AG35" s="79">
        <f t="shared" si="4"/>
        <v>7610.2499999999991</v>
      </c>
      <c r="AH35" s="79">
        <f t="shared" si="4"/>
        <v>7610.2499999999991</v>
      </c>
      <c r="AI35" s="79">
        <f t="shared" si="4"/>
        <v>7610.2499999999991</v>
      </c>
      <c r="AP35" s="110"/>
    </row>
    <row r="36" spans="1:42" x14ac:dyDescent="0.2">
      <c r="A36" s="57" t="s">
        <v>45</v>
      </c>
      <c r="B36" s="59">
        <f>SUM(B23:B34)</f>
        <v>21294000</v>
      </c>
      <c r="K36" s="240" t="s">
        <v>129</v>
      </c>
      <c r="L36" s="241"/>
      <c r="M36" s="241"/>
      <c r="N36" s="241"/>
      <c r="O36" s="242"/>
      <c r="R36" s="109"/>
      <c r="AD36" s="102" t="s">
        <v>114</v>
      </c>
      <c r="AE36" s="79">
        <f t="shared" si="4"/>
        <v>507.34999999999997</v>
      </c>
      <c r="AF36" s="79">
        <f t="shared" si="4"/>
        <v>761.02499999999998</v>
      </c>
      <c r="AG36" s="79">
        <f t="shared" si="4"/>
        <v>1014.6999999999999</v>
      </c>
      <c r="AH36" s="79">
        <f t="shared" si="4"/>
        <v>1014.6999999999999</v>
      </c>
      <c r="AI36" s="79">
        <f t="shared" si="4"/>
        <v>1014.6999999999999</v>
      </c>
      <c r="AP36" s="110"/>
    </row>
    <row r="37" spans="1:42" x14ac:dyDescent="0.2">
      <c r="K37" s="86"/>
      <c r="L37" s="85"/>
      <c r="M37" s="85"/>
      <c r="N37" s="85"/>
      <c r="O37" s="88"/>
      <c r="R37" s="109"/>
      <c r="W37" s="1" t="s">
        <v>167</v>
      </c>
      <c r="Z37" s="124"/>
      <c r="AP37" s="110"/>
    </row>
    <row r="38" spans="1:42" ht="12.95" customHeight="1" x14ac:dyDescent="0.2">
      <c r="A38" s="57" t="s">
        <v>33</v>
      </c>
      <c r="K38" s="86"/>
      <c r="L38" s="85"/>
      <c r="M38" s="85"/>
      <c r="N38" s="85"/>
      <c r="O38" s="88"/>
      <c r="R38" s="109"/>
      <c r="W38" s="124">
        <f>Z30*Z31</f>
        <v>26.9575</v>
      </c>
      <c r="AP38" s="110"/>
    </row>
    <row r="39" spans="1:42" ht="15" x14ac:dyDescent="0.25">
      <c r="B39" s="60"/>
      <c r="C39" s="84"/>
      <c r="K39" s="86"/>
      <c r="L39" s="85"/>
      <c r="M39" s="85"/>
      <c r="N39" s="85"/>
      <c r="O39" s="88"/>
      <c r="R39" s="109"/>
      <c r="X39"/>
      <c r="Y39"/>
      <c r="Z39"/>
      <c r="AA39"/>
      <c r="AB39"/>
      <c r="AE39" s="251" t="s">
        <v>168</v>
      </c>
      <c r="AF39" s="251"/>
      <c r="AG39" s="251"/>
      <c r="AH39" s="251"/>
      <c r="AI39" s="251"/>
      <c r="AP39" s="110"/>
    </row>
    <row r="40" spans="1:42" x14ac:dyDescent="0.2">
      <c r="B40" s="241" t="s">
        <v>169</v>
      </c>
      <c r="C40" s="241"/>
      <c r="D40" s="241"/>
      <c r="E40" s="241"/>
      <c r="F40" s="241"/>
      <c r="K40" s="86"/>
      <c r="L40" s="85"/>
      <c r="M40" s="85"/>
      <c r="N40" s="85"/>
      <c r="O40" s="88"/>
      <c r="R40" s="109"/>
      <c r="W40" s="1" t="s">
        <v>170</v>
      </c>
      <c r="X40"/>
      <c r="Y40"/>
      <c r="Z40"/>
      <c r="AA40"/>
      <c r="AB40"/>
      <c r="AE40" s="101" t="s">
        <v>102</v>
      </c>
      <c r="AF40" s="101" t="s">
        <v>103</v>
      </c>
      <c r="AG40" s="101" t="s">
        <v>104</v>
      </c>
      <c r="AH40" s="101" t="s">
        <v>105</v>
      </c>
      <c r="AI40" s="101" t="s">
        <v>106</v>
      </c>
      <c r="AP40" s="110"/>
    </row>
    <row r="41" spans="1:42" x14ac:dyDescent="0.2">
      <c r="K41" s="86"/>
      <c r="L41" s="85"/>
      <c r="M41" s="85"/>
      <c r="N41" s="85"/>
      <c r="O41" s="88"/>
      <c r="R41" s="109"/>
      <c r="W41" s="125">
        <f>Z33*Z26</f>
        <v>1.825</v>
      </c>
      <c r="X41"/>
      <c r="Y41"/>
      <c r="Z41"/>
      <c r="AA41"/>
      <c r="AB41"/>
      <c r="AD41" s="102" t="s">
        <v>108</v>
      </c>
      <c r="AE41" s="79">
        <f>AE34+AE20</f>
        <v>1124888.7749999999</v>
      </c>
      <c r="AF41" s="79">
        <f t="shared" ref="AF41:AI41" si="5">AF34+AF20</f>
        <v>1687333.1625000001</v>
      </c>
      <c r="AG41" s="79">
        <f t="shared" si="5"/>
        <v>2249777.5499999998</v>
      </c>
      <c r="AH41" s="79">
        <f t="shared" si="5"/>
        <v>2249777.5499999998</v>
      </c>
      <c r="AI41" s="79">
        <f t="shared" si="5"/>
        <v>2249777.5499999998</v>
      </c>
      <c r="AP41" s="110"/>
    </row>
    <row r="42" spans="1:42" x14ac:dyDescent="0.2">
      <c r="B42" s="253" t="s">
        <v>171</v>
      </c>
      <c r="C42" s="253"/>
      <c r="D42" s="253"/>
      <c r="E42" s="253"/>
      <c r="F42" s="253"/>
      <c r="K42" s="86"/>
      <c r="L42" s="85"/>
      <c r="M42" s="85"/>
      <c r="N42" s="85"/>
      <c r="O42" s="88"/>
      <c r="R42" s="109"/>
      <c r="W42"/>
      <c r="X42"/>
      <c r="Y42"/>
      <c r="Z42"/>
      <c r="AA42"/>
      <c r="AB42"/>
      <c r="AD42" s="102" t="s">
        <v>111</v>
      </c>
      <c r="AE42" s="79">
        <f t="shared" ref="AE42:AI42" si="6">AE35+AE21</f>
        <v>11245082.625</v>
      </c>
      <c r="AF42" s="79">
        <f t="shared" si="6"/>
        <v>16867623.9375</v>
      </c>
      <c r="AG42" s="79">
        <f t="shared" si="6"/>
        <v>22490165.25</v>
      </c>
      <c r="AH42" s="79">
        <f t="shared" si="6"/>
        <v>22490165.25</v>
      </c>
      <c r="AI42" s="79">
        <f t="shared" si="6"/>
        <v>22490165.25</v>
      </c>
      <c r="AP42" s="110"/>
    </row>
    <row r="43" spans="1:42" x14ac:dyDescent="0.2">
      <c r="B43" s="101" t="s">
        <v>102</v>
      </c>
      <c r="C43" s="101" t="s">
        <v>103</v>
      </c>
      <c r="D43" s="101" t="s">
        <v>104</v>
      </c>
      <c r="E43" s="101" t="s">
        <v>105</v>
      </c>
      <c r="F43" s="101" t="s">
        <v>106</v>
      </c>
      <c r="K43" s="86"/>
      <c r="O43" s="89"/>
      <c r="R43" s="109"/>
      <c r="W43"/>
      <c r="X43"/>
      <c r="Y43"/>
      <c r="Z43"/>
      <c r="AA43"/>
      <c r="AB43"/>
      <c r="AD43" s="102" t="s">
        <v>114</v>
      </c>
      <c r="AE43" s="79">
        <f t="shared" ref="AE43:AI43" si="7">AE36+AE22</f>
        <v>2248762.85</v>
      </c>
      <c r="AF43" s="79">
        <f t="shared" si="7"/>
        <v>3373144.2749999999</v>
      </c>
      <c r="AG43" s="79">
        <f t="shared" si="7"/>
        <v>4497525.7</v>
      </c>
      <c r="AH43" s="79">
        <f t="shared" si="7"/>
        <v>4497525.7</v>
      </c>
      <c r="AI43" s="79">
        <f t="shared" si="7"/>
        <v>4497525.7</v>
      </c>
      <c r="AP43" s="110"/>
    </row>
    <row r="44" spans="1:42" ht="13.5" thickBot="1" x14ac:dyDescent="0.25">
      <c r="B44" s="58">
        <f>0.05*'Capital Budgeting'!E44</f>
        <v>1326060</v>
      </c>
      <c r="C44" s="58">
        <f>0.05*'Capital Budgeting'!F44</f>
        <v>1989090</v>
      </c>
      <c r="D44" s="58">
        <f>0.05*'Capital Budgeting'!G44</f>
        <v>2652120</v>
      </c>
      <c r="E44" s="58">
        <f>0.05*'Capital Budgeting'!H44</f>
        <v>2652120</v>
      </c>
      <c r="F44" s="58">
        <f>0.05*'Capital Budgeting'!I44</f>
        <v>2652120</v>
      </c>
      <c r="K44" s="86"/>
      <c r="O44" s="90"/>
      <c r="R44" s="109"/>
      <c r="W44"/>
      <c r="X44"/>
      <c r="Y44"/>
      <c r="Z44"/>
      <c r="AA44"/>
      <c r="AB44"/>
      <c r="AE44" s="103"/>
      <c r="AF44" s="103"/>
      <c r="AG44" s="103"/>
      <c r="AH44" s="103"/>
      <c r="AI44" s="103"/>
      <c r="AP44" s="110"/>
    </row>
    <row r="45" spans="1:42" ht="14.25" thickTop="1" thickBot="1" x14ac:dyDescent="0.25">
      <c r="K45" s="91"/>
      <c r="L45" s="92"/>
      <c r="M45" s="92"/>
      <c r="N45" s="92" t="s">
        <v>145</v>
      </c>
      <c r="O45" s="93">
        <f>O34-O43</f>
        <v>0</v>
      </c>
      <c r="R45" s="109"/>
      <c r="W45"/>
      <c r="X45"/>
      <c r="Y45"/>
      <c r="Z45"/>
      <c r="AA45"/>
      <c r="AB45"/>
      <c r="AD45" s="118" t="s">
        <v>175</v>
      </c>
      <c r="AE45" s="119">
        <f>SUM(AE41:AE43)</f>
        <v>14618734.25</v>
      </c>
      <c r="AF45" s="119">
        <f t="shared" ref="AF45:AI45" si="8">SUM(AF41:AF43)</f>
        <v>21928101.375</v>
      </c>
      <c r="AG45" s="119">
        <f t="shared" si="8"/>
        <v>29237468.5</v>
      </c>
      <c r="AH45" s="119">
        <f t="shared" si="8"/>
        <v>29237468.5</v>
      </c>
      <c r="AI45" s="119">
        <f t="shared" si="8"/>
        <v>29237468.5</v>
      </c>
      <c r="AP45" s="110"/>
    </row>
    <row r="46" spans="1:42" ht="13.5" thickBot="1" x14ac:dyDescent="0.25">
      <c r="B46" s="253" t="s">
        <v>172</v>
      </c>
      <c r="C46" s="253"/>
      <c r="D46" s="253"/>
      <c r="E46" s="253"/>
      <c r="F46" s="253"/>
      <c r="R46" s="120"/>
      <c r="S46" s="121"/>
      <c r="T46" s="121"/>
      <c r="U46" s="121"/>
      <c r="V46" s="121"/>
      <c r="W46" s="121"/>
      <c r="X46" s="121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2"/>
    </row>
    <row r="47" spans="1:42" x14ac:dyDescent="0.2">
      <c r="B47" s="101" t="s">
        <v>102</v>
      </c>
      <c r="C47" s="101" t="s">
        <v>103</v>
      </c>
      <c r="D47" s="101" t="s">
        <v>104</v>
      </c>
      <c r="E47" s="101" t="s">
        <v>105</v>
      </c>
      <c r="F47" s="101" t="s">
        <v>106</v>
      </c>
      <c r="K47" s="243" t="s">
        <v>104</v>
      </c>
      <c r="L47" s="244"/>
      <c r="M47" s="244"/>
      <c r="N47" s="244"/>
      <c r="O47" s="245"/>
    </row>
    <row r="48" spans="1:42" x14ac:dyDescent="0.2">
      <c r="B48" s="58">
        <f>5000*Salaries!J16</f>
        <v>130000</v>
      </c>
      <c r="C48" s="58">
        <f>6000*Salaries!J16</f>
        <v>156000</v>
      </c>
      <c r="D48" s="58">
        <f>7000*Salaries!J37</f>
        <v>217000</v>
      </c>
      <c r="E48" s="58">
        <f>8000*Salaries!J37</f>
        <v>248000</v>
      </c>
      <c r="F48" s="58">
        <f>9000*Salaries!J37</f>
        <v>279000</v>
      </c>
      <c r="K48" s="240" t="s">
        <v>96</v>
      </c>
      <c r="L48" s="241"/>
      <c r="M48" s="241"/>
      <c r="N48" s="241"/>
      <c r="O48" s="242"/>
    </row>
    <row r="49" spans="2:15" x14ac:dyDescent="0.2">
      <c r="K49" s="86" t="s">
        <v>156</v>
      </c>
      <c r="L49" s="85"/>
      <c r="M49" s="85"/>
      <c r="N49" s="85"/>
      <c r="O49" s="88"/>
    </row>
    <row r="50" spans="2:15" x14ac:dyDescent="0.2">
      <c r="B50" s="253" t="s">
        <v>173</v>
      </c>
      <c r="C50" s="253"/>
      <c r="D50" s="253"/>
      <c r="E50" s="253"/>
      <c r="F50" s="253"/>
      <c r="K50" s="86"/>
      <c r="L50" s="85"/>
      <c r="M50" s="85"/>
      <c r="N50" s="85"/>
      <c r="O50" s="88"/>
    </row>
    <row r="51" spans="2:15" x14ac:dyDescent="0.2">
      <c r="B51" s="101" t="s">
        <v>102</v>
      </c>
      <c r="C51" s="101" t="s">
        <v>103</v>
      </c>
      <c r="D51" s="101" t="s">
        <v>104</v>
      </c>
      <c r="E51" s="101" t="s">
        <v>105</v>
      </c>
      <c r="F51" s="101" t="s">
        <v>106</v>
      </c>
      <c r="K51" s="86"/>
      <c r="L51" s="85"/>
      <c r="M51" s="85"/>
      <c r="N51" s="85"/>
      <c r="O51" s="88"/>
    </row>
    <row r="52" spans="2:15" x14ac:dyDescent="0.2">
      <c r="B52" s="79">
        <f>Benefits!D4</f>
        <v>346300.5</v>
      </c>
      <c r="C52" s="79">
        <f>Benefits!H4</f>
        <v>375158.875</v>
      </c>
      <c r="D52" s="79">
        <f>Benefits!L4</f>
        <v>430746.05</v>
      </c>
      <c r="E52" s="79">
        <f>Benefits!P4</f>
        <v>461513.625</v>
      </c>
      <c r="F52" s="79">
        <f>Benefits!T4</f>
        <v>492281.19999999995</v>
      </c>
      <c r="K52" s="86"/>
      <c r="L52" s="85"/>
      <c r="M52" s="85"/>
      <c r="N52" s="85"/>
      <c r="O52" s="88"/>
    </row>
    <row r="53" spans="2:15" x14ac:dyDescent="0.2">
      <c r="K53" s="86"/>
      <c r="L53" s="85"/>
      <c r="M53" s="85"/>
      <c r="N53" s="85"/>
      <c r="O53" s="88"/>
    </row>
    <row r="54" spans="2:15" x14ac:dyDescent="0.2">
      <c r="B54" s="253" t="s">
        <v>174</v>
      </c>
      <c r="C54" s="253"/>
      <c r="D54" s="253"/>
      <c r="E54" s="253"/>
      <c r="F54" s="253"/>
      <c r="K54" s="86"/>
      <c r="O54" s="89"/>
    </row>
    <row r="55" spans="2:15" x14ac:dyDescent="0.2">
      <c r="B55" s="101" t="s">
        <v>102</v>
      </c>
      <c r="C55" s="101" t="s">
        <v>103</v>
      </c>
      <c r="D55" s="101" t="s">
        <v>104</v>
      </c>
      <c r="E55" s="101" t="s">
        <v>105</v>
      </c>
      <c r="F55" s="101" t="s">
        <v>106</v>
      </c>
      <c r="K55" s="86"/>
      <c r="N55" s="83"/>
      <c r="O55" s="90"/>
    </row>
    <row r="56" spans="2:15" x14ac:dyDescent="0.2">
      <c r="B56" s="79">
        <f>AE45</f>
        <v>14618734.25</v>
      </c>
      <c r="C56" s="79">
        <f>AF45</f>
        <v>21928101.375</v>
      </c>
      <c r="D56" s="79">
        <f>AG45</f>
        <v>29237468.5</v>
      </c>
      <c r="E56" s="79">
        <f>AH45</f>
        <v>29237468.5</v>
      </c>
      <c r="F56" s="79">
        <f>AI45</f>
        <v>29237468.5</v>
      </c>
      <c r="K56" s="86"/>
      <c r="O56" s="90"/>
    </row>
    <row r="57" spans="2:15" x14ac:dyDescent="0.2">
      <c r="K57" s="240" t="s">
        <v>129</v>
      </c>
      <c r="L57" s="241"/>
      <c r="M57" s="241"/>
      <c r="N57" s="241"/>
      <c r="O57" s="242"/>
    </row>
    <row r="58" spans="2:15" x14ac:dyDescent="0.2">
      <c r="B58" s="241" t="s">
        <v>130</v>
      </c>
      <c r="C58" s="241"/>
      <c r="D58" s="241"/>
      <c r="E58" s="241"/>
      <c r="F58" s="241"/>
      <c r="K58" s="86"/>
      <c r="L58" s="85"/>
      <c r="M58" s="85"/>
      <c r="N58" s="85"/>
      <c r="O58" s="88"/>
    </row>
    <row r="59" spans="2:15" ht="12.95" customHeight="1" x14ac:dyDescent="0.2">
      <c r="B59" s="101" t="s">
        <v>102</v>
      </c>
      <c r="C59" s="101" t="s">
        <v>103</v>
      </c>
      <c r="D59" s="101" t="s">
        <v>104</v>
      </c>
      <c r="E59" s="101" t="s">
        <v>105</v>
      </c>
      <c r="F59" s="101" t="s">
        <v>106</v>
      </c>
      <c r="K59" s="86"/>
      <c r="L59" s="85"/>
      <c r="M59" s="85"/>
      <c r="N59" s="85"/>
      <c r="O59" s="88"/>
    </row>
    <row r="60" spans="2:15" x14ac:dyDescent="0.2">
      <c r="B60" s="85">
        <v>0</v>
      </c>
      <c r="C60" s="85">
        <v>0</v>
      </c>
      <c r="D60" s="85">
        <f>Salaries!J36-Salaries!J15</f>
        <v>407100</v>
      </c>
      <c r="E60" s="85">
        <f>Salaries!J36-Salaries!J15</f>
        <v>407100</v>
      </c>
      <c r="F60" s="85">
        <f>Salaries!J36-Salaries!J15</f>
        <v>407100</v>
      </c>
      <c r="K60" s="86"/>
      <c r="L60" s="85"/>
      <c r="M60" s="85"/>
      <c r="N60" s="85"/>
      <c r="O60" s="88"/>
    </row>
    <row r="61" spans="2:15" x14ac:dyDescent="0.2">
      <c r="K61" s="86"/>
      <c r="L61" s="85"/>
      <c r="M61" s="85"/>
      <c r="N61" s="85"/>
      <c r="O61" s="88"/>
    </row>
    <row r="62" spans="2:15" x14ac:dyDescent="0.2">
      <c r="B62" s="252" t="s">
        <v>177</v>
      </c>
      <c r="C62" s="252"/>
      <c r="D62" s="252"/>
      <c r="E62" s="252"/>
      <c r="F62" s="252"/>
      <c r="K62" s="86"/>
      <c r="L62" s="85"/>
      <c r="M62" s="85"/>
      <c r="N62" s="85"/>
      <c r="O62" s="88"/>
    </row>
    <row r="63" spans="2:15" x14ac:dyDescent="0.2">
      <c r="B63" s="101" t="s">
        <v>102</v>
      </c>
      <c r="C63" s="101" t="s">
        <v>103</v>
      </c>
      <c r="D63" s="101" t="s">
        <v>104</v>
      </c>
      <c r="E63" s="101" t="s">
        <v>105</v>
      </c>
      <c r="F63" s="101" t="s">
        <v>106</v>
      </c>
      <c r="K63" s="86"/>
      <c r="L63" s="85"/>
      <c r="M63" s="85"/>
      <c r="N63" s="85"/>
      <c r="O63" s="88"/>
    </row>
    <row r="64" spans="2:15" x14ac:dyDescent="0.2">
      <c r="B64" s="100">
        <f>SUM(B44,B48,B52,B56,B60)</f>
        <v>16421094.75</v>
      </c>
      <c r="C64" s="100">
        <f t="shared" ref="C64:E64" si="9">SUM(C44,C48,C52,C56,C60)</f>
        <v>24448350.25</v>
      </c>
      <c r="D64" s="100">
        <f t="shared" si="9"/>
        <v>32944434.550000001</v>
      </c>
      <c r="E64" s="100">
        <f t="shared" si="9"/>
        <v>33006202.125</v>
      </c>
      <c r="F64" s="100">
        <f>SUM(F44,F48,F52,F56,F60)</f>
        <v>33067969.699999999</v>
      </c>
      <c r="K64" s="86"/>
      <c r="O64" s="89"/>
    </row>
    <row r="65" spans="1:15" x14ac:dyDescent="0.2">
      <c r="K65" s="86"/>
      <c r="O65" s="90"/>
    </row>
    <row r="66" spans="1:15" ht="13.5" thickBot="1" x14ac:dyDescent="0.25">
      <c r="K66" s="91"/>
      <c r="L66" s="92"/>
      <c r="M66" s="92"/>
      <c r="N66" s="92" t="s">
        <v>145</v>
      </c>
      <c r="O66" s="93">
        <f>O55-O64</f>
        <v>0</v>
      </c>
    </row>
    <row r="67" spans="1:15" ht="13.5" thickBot="1" x14ac:dyDescent="0.25"/>
    <row r="68" spans="1:15" x14ac:dyDescent="0.2">
      <c r="K68" s="243" t="s">
        <v>104</v>
      </c>
      <c r="L68" s="244"/>
      <c r="M68" s="244"/>
      <c r="N68" s="244"/>
      <c r="O68" s="245"/>
    </row>
    <row r="69" spans="1:15" x14ac:dyDescent="0.2">
      <c r="K69" s="240" t="s">
        <v>96</v>
      </c>
      <c r="L69" s="241"/>
      <c r="M69" s="241"/>
      <c r="N69" s="241"/>
      <c r="O69" s="242"/>
    </row>
    <row r="70" spans="1:15" x14ac:dyDescent="0.2">
      <c r="K70" s="86" t="s">
        <v>156</v>
      </c>
      <c r="L70" s="85"/>
      <c r="M70" s="85"/>
      <c r="N70" s="85"/>
      <c r="O70" s="88"/>
    </row>
    <row r="71" spans="1:15" x14ac:dyDescent="0.2">
      <c r="K71" s="86"/>
      <c r="L71" s="85"/>
      <c r="M71" s="85"/>
      <c r="N71" s="85"/>
      <c r="O71" s="88"/>
    </row>
    <row r="72" spans="1:15" x14ac:dyDescent="0.2">
      <c r="K72" s="86"/>
      <c r="L72" s="85"/>
      <c r="M72" s="85"/>
      <c r="N72" s="85"/>
      <c r="O72" s="88"/>
    </row>
    <row r="73" spans="1:15" x14ac:dyDescent="0.2">
      <c r="K73" s="86"/>
      <c r="L73" s="85"/>
      <c r="M73" s="85"/>
      <c r="N73" s="85"/>
      <c r="O73" s="88"/>
    </row>
    <row r="74" spans="1:15" x14ac:dyDescent="0.2">
      <c r="K74" s="86"/>
      <c r="L74" s="85"/>
      <c r="M74" s="85"/>
      <c r="N74" s="85"/>
      <c r="O74" s="88"/>
    </row>
    <row r="75" spans="1:15" x14ac:dyDescent="0.2">
      <c r="A75" s="1" t="s">
        <v>363</v>
      </c>
      <c r="K75" s="86"/>
      <c r="O75" s="89"/>
    </row>
    <row r="76" spans="1:15" x14ac:dyDescent="0.2">
      <c r="K76" s="86"/>
      <c r="N76" s="83"/>
      <c r="O76" s="90"/>
    </row>
    <row r="77" spans="1:15" x14ac:dyDescent="0.2">
      <c r="B77" s="166" t="s">
        <v>102</v>
      </c>
      <c r="C77" s="166" t="s">
        <v>103</v>
      </c>
      <c r="D77" s="166" t="s">
        <v>104</v>
      </c>
      <c r="E77" s="166" t="s">
        <v>105</v>
      </c>
      <c r="F77" s="166" t="s">
        <v>106</v>
      </c>
      <c r="K77" s="86"/>
      <c r="O77" s="90"/>
    </row>
    <row r="78" spans="1:15" x14ac:dyDescent="0.2">
      <c r="B78" s="239">
        <f>('Capital Budgeting'!E44-'Capital Budgeting'!E7)/'Capital Budgeting'!E44</f>
        <v>0.38083138206416001</v>
      </c>
      <c r="C78" s="239">
        <f>('Capital Budgeting'!F44-'Capital Budgeting'!F7)/'Capital Budgeting'!F44</f>
        <v>0.38543881247203493</v>
      </c>
      <c r="D78" s="239">
        <f>('Capital Budgeting'!G44-'Capital Budgeting'!G7)/'Capital Budgeting'!G44</f>
        <v>0.37890377226520666</v>
      </c>
      <c r="E78" s="239">
        <f>('Capital Budgeting'!H44-'Capital Budgeting'!H7)/'Capital Budgeting'!H44</f>
        <v>0.37773927791728878</v>
      </c>
      <c r="F78" s="239">
        <f>('Capital Budgeting'!I44-'Capital Budgeting'!I7)/'Capital Budgeting'!I44</f>
        <v>0.37657478356937091</v>
      </c>
      <c r="K78" s="240" t="s">
        <v>129</v>
      </c>
      <c r="L78" s="241"/>
      <c r="M78" s="241"/>
      <c r="N78" s="241"/>
      <c r="O78" s="242"/>
    </row>
    <row r="79" spans="1:15" x14ac:dyDescent="0.2">
      <c r="K79" s="86"/>
      <c r="L79" s="85"/>
      <c r="M79" s="85"/>
      <c r="N79" s="85"/>
      <c r="O79" s="88"/>
    </row>
    <row r="80" spans="1:15" ht="12.95" customHeight="1" x14ac:dyDescent="0.2">
      <c r="K80" s="86"/>
      <c r="L80" s="85"/>
      <c r="M80" s="85"/>
      <c r="N80" s="85"/>
      <c r="O80" s="88"/>
    </row>
    <row r="81" spans="11:15" x14ac:dyDescent="0.2">
      <c r="K81" s="86"/>
      <c r="L81" s="85"/>
      <c r="M81" s="85"/>
      <c r="N81" s="85"/>
      <c r="O81" s="88"/>
    </row>
    <row r="82" spans="11:15" x14ac:dyDescent="0.2">
      <c r="K82" s="86"/>
      <c r="L82" s="85"/>
      <c r="M82" s="85"/>
      <c r="N82" s="85"/>
      <c r="O82" s="88"/>
    </row>
    <row r="83" spans="11:15" x14ac:dyDescent="0.2">
      <c r="K83" s="86"/>
      <c r="L83" s="85"/>
      <c r="M83" s="85"/>
      <c r="N83" s="85"/>
      <c r="O83" s="88"/>
    </row>
    <row r="84" spans="11:15" x14ac:dyDescent="0.2">
      <c r="K84" s="86"/>
      <c r="L84" s="85"/>
      <c r="M84" s="85"/>
      <c r="N84" s="85"/>
      <c r="O84" s="88"/>
    </row>
    <row r="85" spans="11:15" x14ac:dyDescent="0.2">
      <c r="K85" s="86"/>
      <c r="O85" s="89"/>
    </row>
    <row r="86" spans="11:15" x14ac:dyDescent="0.2">
      <c r="K86" s="86"/>
      <c r="O86" s="90"/>
    </row>
    <row r="87" spans="11:15" ht="13.5" thickBot="1" x14ac:dyDescent="0.25">
      <c r="K87" s="91"/>
      <c r="L87" s="92"/>
      <c r="M87" s="92"/>
      <c r="N87" s="92" t="s">
        <v>145</v>
      </c>
      <c r="O87" s="93">
        <f>O76-O85</f>
        <v>0</v>
      </c>
    </row>
    <row r="88" spans="11:15" x14ac:dyDescent="0.2"/>
    <row r="89" spans="11:15" ht="13.5" thickBot="1" x14ac:dyDescent="0.25"/>
    <row r="90" spans="11:15" x14ac:dyDescent="0.2">
      <c r="K90" s="243" t="s">
        <v>105</v>
      </c>
      <c r="L90" s="244"/>
      <c r="M90" s="244"/>
      <c r="N90" s="244"/>
      <c r="O90" s="245"/>
    </row>
    <row r="91" spans="11:15" x14ac:dyDescent="0.2">
      <c r="K91" s="240" t="s">
        <v>96</v>
      </c>
      <c r="L91" s="241"/>
      <c r="M91" s="241"/>
      <c r="N91" s="241"/>
      <c r="O91" s="242"/>
    </row>
    <row r="92" spans="11:15" x14ac:dyDescent="0.2">
      <c r="K92" s="86" t="s">
        <v>156</v>
      </c>
      <c r="L92" s="85"/>
      <c r="M92" s="85"/>
      <c r="N92" s="85"/>
      <c r="O92" s="88"/>
    </row>
    <row r="93" spans="11:15" x14ac:dyDescent="0.2">
      <c r="K93" s="86"/>
      <c r="L93" s="85"/>
      <c r="M93" s="85"/>
      <c r="N93" s="85"/>
      <c r="O93" s="88"/>
    </row>
    <row r="94" spans="11:15" x14ac:dyDescent="0.2">
      <c r="K94" s="86"/>
      <c r="L94" s="85"/>
      <c r="M94" s="85"/>
      <c r="N94" s="85"/>
      <c r="O94" s="88"/>
    </row>
    <row r="95" spans="11:15" x14ac:dyDescent="0.2">
      <c r="K95" s="86"/>
      <c r="L95" s="85"/>
      <c r="M95" s="85"/>
      <c r="N95" s="85"/>
      <c r="O95" s="88"/>
    </row>
    <row r="96" spans="11:15" x14ac:dyDescent="0.2">
      <c r="K96" s="86"/>
      <c r="L96" s="85"/>
      <c r="M96" s="85"/>
      <c r="N96" s="85"/>
      <c r="O96" s="88"/>
    </row>
    <row r="97" spans="11:15" x14ac:dyDescent="0.2">
      <c r="K97" s="86"/>
      <c r="O97" s="89"/>
    </row>
    <row r="98" spans="11:15" x14ac:dyDescent="0.2">
      <c r="K98" s="86"/>
      <c r="N98" s="83"/>
      <c r="O98" s="90"/>
    </row>
    <row r="99" spans="11:15" x14ac:dyDescent="0.2">
      <c r="K99" s="86"/>
      <c r="O99" s="90"/>
    </row>
    <row r="100" spans="11:15" x14ac:dyDescent="0.2">
      <c r="K100" s="240" t="s">
        <v>129</v>
      </c>
      <c r="L100" s="241"/>
      <c r="M100" s="241"/>
      <c r="N100" s="241"/>
      <c r="O100" s="242"/>
    </row>
    <row r="101" spans="11:15" x14ac:dyDescent="0.2">
      <c r="K101" s="86"/>
      <c r="L101" s="85"/>
      <c r="M101" s="85"/>
      <c r="N101" s="85"/>
      <c r="O101" s="88"/>
    </row>
    <row r="102" spans="11:15" ht="12.95" customHeight="1" x14ac:dyDescent="0.2">
      <c r="K102" s="86"/>
      <c r="L102" s="85"/>
      <c r="M102" s="85"/>
      <c r="N102" s="85"/>
      <c r="O102" s="88"/>
    </row>
    <row r="103" spans="11:15" x14ac:dyDescent="0.2">
      <c r="K103" s="86"/>
      <c r="L103" s="85"/>
      <c r="M103" s="85"/>
      <c r="N103" s="85"/>
      <c r="O103" s="88"/>
    </row>
    <row r="104" spans="11:15" x14ac:dyDescent="0.2">
      <c r="K104" s="86"/>
      <c r="L104" s="85"/>
      <c r="M104" s="85"/>
      <c r="N104" s="85"/>
      <c r="O104" s="88"/>
    </row>
    <row r="105" spans="11:15" x14ac:dyDescent="0.2">
      <c r="K105" s="86"/>
      <c r="L105" s="85"/>
      <c r="M105" s="85"/>
      <c r="N105" s="85"/>
      <c r="O105" s="88"/>
    </row>
    <row r="106" spans="11:15" x14ac:dyDescent="0.2">
      <c r="K106" s="86"/>
      <c r="L106" s="85"/>
      <c r="M106" s="85"/>
      <c r="N106" s="85"/>
      <c r="O106" s="88"/>
    </row>
    <row r="107" spans="11:15" x14ac:dyDescent="0.2">
      <c r="K107" s="86"/>
      <c r="O107" s="89"/>
    </row>
    <row r="108" spans="11:15" x14ac:dyDescent="0.2">
      <c r="K108" s="86"/>
      <c r="O108" s="90"/>
    </row>
    <row r="109" spans="11:15" ht="13.5" thickBot="1" x14ac:dyDescent="0.25">
      <c r="K109" s="91"/>
      <c r="L109" s="92"/>
      <c r="M109" s="92"/>
      <c r="N109" s="92" t="s">
        <v>145</v>
      </c>
      <c r="O109" s="93">
        <f>O98-O107</f>
        <v>0</v>
      </c>
    </row>
    <row r="110" spans="11:15" x14ac:dyDescent="0.2"/>
    <row r="111" spans="11:15" ht="13.5" thickBot="1" x14ac:dyDescent="0.25"/>
    <row r="112" spans="11:15" x14ac:dyDescent="0.2">
      <c r="K112" s="243" t="s">
        <v>106</v>
      </c>
      <c r="L112" s="244"/>
      <c r="M112" s="244"/>
      <c r="N112" s="244"/>
      <c r="O112" s="245"/>
    </row>
    <row r="113" spans="11:15" x14ac:dyDescent="0.2">
      <c r="K113" s="240" t="s">
        <v>96</v>
      </c>
      <c r="L113" s="241"/>
      <c r="M113" s="241"/>
      <c r="N113" s="241"/>
      <c r="O113" s="242"/>
    </row>
    <row r="114" spans="11:15" x14ac:dyDescent="0.2">
      <c r="K114" s="86" t="s">
        <v>156</v>
      </c>
      <c r="L114" s="85"/>
      <c r="M114" s="85"/>
      <c r="N114" s="85"/>
      <c r="O114" s="88"/>
    </row>
    <row r="115" spans="11:15" x14ac:dyDescent="0.2">
      <c r="K115" s="86"/>
      <c r="L115" s="85"/>
      <c r="M115" s="85"/>
      <c r="N115" s="85"/>
      <c r="O115" s="88"/>
    </row>
    <row r="116" spans="11:15" ht="12.95" customHeight="1" x14ac:dyDescent="0.2">
      <c r="K116" s="86"/>
      <c r="L116" s="85"/>
      <c r="M116" s="85"/>
      <c r="N116" s="85"/>
      <c r="O116" s="88"/>
    </row>
    <row r="117" spans="11:15" ht="12.95" customHeight="1" x14ac:dyDescent="0.2">
      <c r="K117" s="86"/>
      <c r="L117" s="85"/>
      <c r="M117" s="85"/>
      <c r="N117" s="85"/>
      <c r="O117" s="88"/>
    </row>
    <row r="118" spans="11:15" ht="12.95" customHeight="1" x14ac:dyDescent="0.2">
      <c r="K118" s="86"/>
      <c r="L118" s="85"/>
      <c r="M118" s="85"/>
      <c r="N118" s="85"/>
      <c r="O118" s="88"/>
    </row>
    <row r="119" spans="11:15" ht="12.95" customHeight="1" x14ac:dyDescent="0.2">
      <c r="K119" s="86"/>
      <c r="O119" s="89"/>
    </row>
    <row r="120" spans="11:15" ht="12.95" customHeight="1" x14ac:dyDescent="0.2">
      <c r="K120" s="86"/>
      <c r="N120" s="83"/>
      <c r="O120" s="90"/>
    </row>
    <row r="121" spans="11:15" ht="12.95" customHeight="1" x14ac:dyDescent="0.2">
      <c r="K121" s="86"/>
      <c r="O121" s="90"/>
    </row>
    <row r="122" spans="11:15" ht="12.95" customHeight="1" x14ac:dyDescent="0.2">
      <c r="K122" s="240" t="s">
        <v>129</v>
      </c>
      <c r="L122" s="241"/>
      <c r="M122" s="241"/>
      <c r="N122" s="241"/>
      <c r="O122" s="242"/>
    </row>
    <row r="123" spans="11:15" ht="12.95" customHeight="1" x14ac:dyDescent="0.2">
      <c r="K123" s="86"/>
      <c r="L123" s="85"/>
      <c r="M123" s="85"/>
      <c r="N123" s="85"/>
      <c r="O123" s="88"/>
    </row>
    <row r="124" spans="11:15" ht="12.95" customHeight="1" x14ac:dyDescent="0.2">
      <c r="K124" s="86"/>
      <c r="L124" s="85"/>
      <c r="M124" s="85"/>
      <c r="N124" s="85"/>
      <c r="O124" s="88"/>
    </row>
    <row r="125" spans="11:15" ht="12.95" customHeight="1" x14ac:dyDescent="0.2">
      <c r="K125" s="86"/>
      <c r="L125" s="85"/>
      <c r="M125" s="85"/>
      <c r="N125" s="85"/>
      <c r="O125" s="88"/>
    </row>
    <row r="126" spans="11:15" ht="12.95" customHeight="1" x14ac:dyDescent="0.2">
      <c r="K126" s="86"/>
      <c r="L126" s="85"/>
      <c r="M126" s="85"/>
      <c r="N126" s="85"/>
      <c r="O126" s="88"/>
    </row>
    <row r="127" spans="11:15" x14ac:dyDescent="0.2">
      <c r="K127" s="86"/>
      <c r="L127" s="85"/>
      <c r="M127" s="85"/>
      <c r="N127" s="85"/>
      <c r="O127" s="88"/>
    </row>
    <row r="128" spans="11:15" x14ac:dyDescent="0.2">
      <c r="K128" s="86"/>
      <c r="L128" s="85"/>
      <c r="M128" s="85"/>
      <c r="N128" s="85"/>
      <c r="O128" s="88"/>
    </row>
    <row r="129" spans="11:15" x14ac:dyDescent="0.2">
      <c r="K129" s="86"/>
      <c r="O129" s="89"/>
    </row>
    <row r="130" spans="11:15" x14ac:dyDescent="0.2">
      <c r="K130" s="86"/>
      <c r="O130" s="90"/>
    </row>
    <row r="131" spans="11:15" ht="13.5" thickBot="1" x14ac:dyDescent="0.25">
      <c r="K131" s="91"/>
      <c r="L131" s="92"/>
      <c r="M131" s="92"/>
      <c r="N131" s="92" t="s">
        <v>145</v>
      </c>
      <c r="O131" s="93">
        <f>O120-O129</f>
        <v>0</v>
      </c>
    </row>
    <row r="132" spans="11:15" x14ac:dyDescent="0.2"/>
    <row r="133" spans="11:15" x14ac:dyDescent="0.2"/>
    <row r="134" spans="11:15" ht="15" customHeight="1" x14ac:dyDescent="0.2"/>
    <row r="135" spans="11:15" x14ac:dyDescent="0.2"/>
    <row r="136" spans="11:15" x14ac:dyDescent="0.2"/>
    <row r="137" spans="11:15" x14ac:dyDescent="0.2"/>
    <row r="139" spans="11:15" x14ac:dyDescent="0.2"/>
    <row r="140" spans="11:15" x14ac:dyDescent="0.2"/>
    <row r="141" spans="11:15" ht="15" customHeight="1" x14ac:dyDescent="0.2"/>
    <row r="142" spans="11:15" x14ac:dyDescent="0.2"/>
    <row r="143" spans="11:15" x14ac:dyDescent="0.2"/>
    <row r="144" spans="11:15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5" ht="15" customHeight="1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</sheetData>
  <mergeCells count="38">
    <mergeCell ref="B62:F62"/>
    <mergeCell ref="B42:F42"/>
    <mergeCell ref="B46:F46"/>
    <mergeCell ref="B40:F40"/>
    <mergeCell ref="B50:F50"/>
    <mergeCell ref="B54:F54"/>
    <mergeCell ref="B58:F58"/>
    <mergeCell ref="AJ25:AO26"/>
    <mergeCell ref="K112:O112"/>
    <mergeCell ref="K113:O113"/>
    <mergeCell ref="Y2:AD2"/>
    <mergeCell ref="AE4:AI4"/>
    <mergeCell ref="AE11:AI11"/>
    <mergeCell ref="AJ4:AO5"/>
    <mergeCell ref="AJ8:AO9"/>
    <mergeCell ref="AJ11:AP12"/>
    <mergeCell ref="R24:V26"/>
    <mergeCell ref="AE18:AI18"/>
    <mergeCell ref="AE25:AI25"/>
    <mergeCell ref="AE32:AI32"/>
    <mergeCell ref="AE39:AI39"/>
    <mergeCell ref="W5:Z5"/>
    <mergeCell ref="K36:O36"/>
    <mergeCell ref="K3:O3"/>
    <mergeCell ref="K4:O4"/>
    <mergeCell ref="K15:O15"/>
    <mergeCell ref="K26:O26"/>
    <mergeCell ref="K27:O27"/>
    <mergeCell ref="K122:O122"/>
    <mergeCell ref="K47:O47"/>
    <mergeCell ref="K48:O48"/>
    <mergeCell ref="K57:O57"/>
    <mergeCell ref="K68:O68"/>
    <mergeCell ref="K69:O69"/>
    <mergeCell ref="K78:O78"/>
    <mergeCell ref="K90:O90"/>
    <mergeCell ref="K91:O91"/>
    <mergeCell ref="K100:O100"/>
  </mergeCells>
  <phoneticPr fontId="57" type="noConversion"/>
  <pageMargins left="0.7" right="0.7" top="0.75" bottom="0.75" header="0.3" footer="0.3"/>
  <pageSetup scale="87" orientation="portrait" horizontalDpi="360" verticalDpi="360" r:id="rId1"/>
  <rowBreaks count="1" manualBreakCount="1">
    <brk id="38" max="16383" man="1"/>
  </rowBreaks>
  <colBreaks count="2" manualBreakCount="2">
    <brk id="7" max="1048575" man="1"/>
    <brk id="16" max="130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2249-A953-4AFE-8062-61FCDF501CA6}">
  <sheetPr codeName="Sheet9"/>
  <dimension ref="A1:AL47"/>
  <sheetViews>
    <sheetView workbookViewId="0">
      <selection activeCell="C17" sqref="C17"/>
    </sheetView>
  </sheetViews>
  <sheetFormatPr defaultRowHeight="12.75" x14ac:dyDescent="0.2"/>
  <cols>
    <col min="1" max="1" width="5.42578125" customWidth="1"/>
    <col min="2" max="2" width="22.5703125" bestFit="1" customWidth="1"/>
    <col min="3" max="3" width="23.28515625" bestFit="1" customWidth="1"/>
    <col min="4" max="4" width="22.7109375" bestFit="1" customWidth="1"/>
    <col min="5" max="5" width="9.28515625" customWidth="1"/>
    <col min="6" max="6" width="13.28515625" bestFit="1" customWidth="1"/>
    <col min="7" max="7" width="15.7109375" bestFit="1" customWidth="1"/>
    <col min="8" max="8" width="17.28515625" bestFit="1" customWidth="1"/>
    <col min="11" max="11" width="30.7109375" customWidth="1"/>
    <col min="12" max="12" width="43.28515625" customWidth="1"/>
    <col min="13" max="13" width="10.85546875" bestFit="1" customWidth="1"/>
    <col min="14" max="14" width="8.42578125" bestFit="1" customWidth="1"/>
    <col min="16" max="16" width="7.140625" bestFit="1" customWidth="1"/>
    <col min="21" max="21" width="30.7109375" customWidth="1"/>
    <col min="22" max="22" width="43.28515625" customWidth="1"/>
    <col min="23" max="23" width="10.85546875" bestFit="1" customWidth="1"/>
    <col min="24" max="24" width="9.5703125" bestFit="1" customWidth="1"/>
    <col min="31" max="31" width="30.7109375" customWidth="1"/>
    <col min="32" max="32" width="43.28515625" customWidth="1"/>
    <col min="33" max="33" width="10.85546875" bestFit="1" customWidth="1"/>
    <col min="34" max="34" width="8.42578125" bestFit="1" customWidth="1"/>
  </cols>
  <sheetData>
    <row r="1" spans="2:38" ht="15.75" x14ac:dyDescent="0.25">
      <c r="K1" s="216" t="s">
        <v>335</v>
      </c>
      <c r="L1" s="193"/>
      <c r="M1" s="193"/>
      <c r="N1" s="193"/>
      <c r="O1" s="193"/>
      <c r="P1" s="193"/>
      <c r="Q1" s="193"/>
      <c r="R1" s="193"/>
      <c r="S1" s="182"/>
      <c r="T1" s="182"/>
      <c r="U1" s="216" t="s">
        <v>338</v>
      </c>
      <c r="V1" s="193"/>
      <c r="W1" s="193"/>
      <c r="X1" s="193"/>
      <c r="Y1" s="193"/>
      <c r="Z1" s="193"/>
      <c r="AA1" s="193"/>
      <c r="AB1" s="193"/>
      <c r="AE1" s="216" t="s">
        <v>340</v>
      </c>
      <c r="AF1" s="193"/>
      <c r="AG1" s="193"/>
      <c r="AH1" s="193"/>
      <c r="AI1" s="193"/>
      <c r="AJ1" s="193"/>
      <c r="AK1" s="193"/>
      <c r="AL1" s="193"/>
    </row>
    <row r="2" spans="2:38" ht="15.75" x14ac:dyDescent="0.25">
      <c r="B2" s="227"/>
      <c r="C2" s="227" t="s">
        <v>318</v>
      </c>
      <c r="D2" s="227"/>
      <c r="E2" s="227" t="s">
        <v>314</v>
      </c>
      <c r="F2" s="227" t="s">
        <v>341</v>
      </c>
      <c r="G2" s="227" t="s">
        <v>342</v>
      </c>
      <c r="H2" s="227" t="s">
        <v>343</v>
      </c>
      <c r="K2" s="217"/>
      <c r="L2" s="193"/>
      <c r="M2" s="193"/>
      <c r="N2" s="193"/>
      <c r="O2" s="193"/>
      <c r="P2" s="193"/>
      <c r="Q2" s="193"/>
      <c r="R2" s="193"/>
      <c r="S2" s="182"/>
      <c r="T2" s="182"/>
      <c r="U2" s="217"/>
      <c r="V2" s="193"/>
      <c r="W2" s="193"/>
      <c r="X2" s="193"/>
      <c r="Y2" s="193"/>
      <c r="Z2" s="193"/>
      <c r="AA2" s="193"/>
      <c r="AB2" s="193"/>
      <c r="AE2" s="217"/>
      <c r="AF2" s="193"/>
      <c r="AG2" s="193"/>
      <c r="AH2" s="193"/>
      <c r="AI2" s="193"/>
      <c r="AJ2" s="193"/>
      <c r="AK2" s="193"/>
      <c r="AL2" s="193"/>
    </row>
    <row r="3" spans="2:38" ht="15.75" x14ac:dyDescent="0.25">
      <c r="B3" s="193" t="s">
        <v>344</v>
      </c>
      <c r="C3" s="194">
        <f>L10</f>
        <v>11229888600</v>
      </c>
      <c r="D3" s="228"/>
      <c r="E3" s="229">
        <f>L6</f>
        <v>2.0699999999999998</v>
      </c>
      <c r="F3" s="196">
        <f>R16</f>
        <v>0</v>
      </c>
      <c r="G3" s="196">
        <f>M21</f>
        <v>0</v>
      </c>
      <c r="H3" s="196">
        <f>M22</f>
        <v>1</v>
      </c>
      <c r="K3" s="218" t="s">
        <v>339</v>
      </c>
      <c r="L3" s="193"/>
      <c r="M3" s="193"/>
      <c r="N3" s="193"/>
      <c r="O3" s="193"/>
      <c r="P3" s="193"/>
      <c r="Q3" s="193"/>
      <c r="R3" s="193"/>
      <c r="S3" s="182"/>
      <c r="T3" s="182"/>
      <c r="U3" s="218" t="s">
        <v>339</v>
      </c>
      <c r="V3" s="193"/>
      <c r="W3" s="193"/>
      <c r="X3" s="193"/>
      <c r="Y3" s="193"/>
      <c r="Z3" s="193"/>
      <c r="AA3" s="193"/>
      <c r="AB3" s="193"/>
      <c r="AE3" s="218" t="s">
        <v>339</v>
      </c>
      <c r="AF3" s="193"/>
      <c r="AG3" s="193"/>
      <c r="AH3" s="193"/>
      <c r="AI3" s="193"/>
      <c r="AJ3" s="193"/>
      <c r="AK3" s="193"/>
      <c r="AL3" s="193"/>
    </row>
    <row r="4" spans="2:38" ht="15.75" x14ac:dyDescent="0.25">
      <c r="B4" s="193" t="s">
        <v>345</v>
      </c>
      <c r="C4" s="194">
        <f>V10</f>
        <v>3040697000</v>
      </c>
      <c r="D4" s="228"/>
      <c r="E4" s="229">
        <f>V6</f>
        <v>2.15</v>
      </c>
      <c r="F4" s="196">
        <f>AB16</f>
        <v>0</v>
      </c>
      <c r="G4" s="196">
        <f>W21</f>
        <v>0</v>
      </c>
      <c r="H4" s="196">
        <f>W22</f>
        <v>1</v>
      </c>
      <c r="K4" s="217"/>
      <c r="L4" s="193"/>
      <c r="M4" s="193"/>
      <c r="N4" s="193"/>
      <c r="O4" s="193"/>
      <c r="P4" s="193"/>
      <c r="Q4" s="193"/>
      <c r="R4" s="193"/>
      <c r="S4" s="182"/>
      <c r="T4" s="182"/>
      <c r="U4" s="217"/>
      <c r="V4" s="193"/>
      <c r="W4" s="193"/>
      <c r="X4" s="193"/>
      <c r="Y4" s="193"/>
      <c r="Z4" s="193"/>
      <c r="AA4" s="193"/>
      <c r="AB4" s="193"/>
      <c r="AE4" s="217"/>
      <c r="AF4" s="193"/>
      <c r="AG4" s="193"/>
      <c r="AH4" s="193"/>
      <c r="AI4" s="193"/>
      <c r="AJ4" s="193"/>
      <c r="AK4" s="193"/>
      <c r="AL4" s="193"/>
    </row>
    <row r="5" spans="2:38" ht="15.75" x14ac:dyDescent="0.25">
      <c r="B5" s="193" t="s">
        <v>350</v>
      </c>
      <c r="C5" s="228">
        <f>AF10</f>
        <v>37105797100</v>
      </c>
      <c r="D5" s="228"/>
      <c r="E5" s="229">
        <f>AF6</f>
        <v>1.96</v>
      </c>
      <c r="F5" s="196">
        <f>AL16</f>
        <v>0</v>
      </c>
      <c r="G5" s="196">
        <f>AG21</f>
        <v>0</v>
      </c>
      <c r="H5" s="196">
        <f>AG22</f>
        <v>1</v>
      </c>
      <c r="K5" s="217" t="s">
        <v>244</v>
      </c>
      <c r="L5" s="194">
        <v>23.22</v>
      </c>
      <c r="M5" s="193"/>
      <c r="N5" s="193"/>
      <c r="O5" s="193"/>
      <c r="P5" s="193"/>
      <c r="Q5" s="193"/>
      <c r="R5" s="193"/>
      <c r="S5" s="182"/>
      <c r="T5" s="182"/>
      <c r="U5" s="217" t="s">
        <v>244</v>
      </c>
      <c r="V5" s="194">
        <v>26.51</v>
      </c>
      <c r="W5" s="193"/>
      <c r="X5" s="193"/>
      <c r="Y5" s="193"/>
      <c r="Z5" s="193"/>
      <c r="AA5" s="193"/>
      <c r="AB5" s="193"/>
      <c r="AE5" s="217" t="s">
        <v>244</v>
      </c>
      <c r="AF5" s="194">
        <v>67.03</v>
      </c>
      <c r="AG5" s="193"/>
      <c r="AH5" s="193"/>
      <c r="AI5" s="193"/>
      <c r="AJ5" s="193"/>
      <c r="AK5" s="193"/>
      <c r="AL5" s="193"/>
    </row>
    <row r="6" spans="2:38" ht="15.75" x14ac:dyDescent="0.25">
      <c r="B6" s="193"/>
      <c r="C6" s="193"/>
      <c r="D6" s="193"/>
      <c r="E6" s="193"/>
      <c r="F6" s="193"/>
      <c r="G6" s="193"/>
      <c r="H6" s="193"/>
      <c r="K6" s="217" t="s">
        <v>314</v>
      </c>
      <c r="L6" s="193">
        <v>2.0699999999999998</v>
      </c>
      <c r="M6" s="193"/>
      <c r="N6" s="193"/>
      <c r="O6" s="193"/>
      <c r="P6" s="193"/>
      <c r="Q6" s="193"/>
      <c r="R6" s="193"/>
      <c r="S6" s="182"/>
      <c r="T6" s="182"/>
      <c r="U6" s="217" t="s">
        <v>314</v>
      </c>
      <c r="V6" s="193">
        <v>2.15</v>
      </c>
      <c r="W6" s="193"/>
      <c r="X6" s="193"/>
      <c r="Y6" s="193"/>
      <c r="Z6" s="193"/>
      <c r="AA6" s="193"/>
      <c r="AB6" s="193"/>
      <c r="AE6" s="217" t="s">
        <v>314</v>
      </c>
      <c r="AF6" s="193">
        <v>1.96</v>
      </c>
      <c r="AG6" s="193"/>
      <c r="AH6" s="193"/>
      <c r="AI6" s="193"/>
      <c r="AJ6" s="193"/>
      <c r="AK6" s="193"/>
      <c r="AL6" s="193"/>
    </row>
    <row r="7" spans="2:38" ht="15.75" x14ac:dyDescent="0.25">
      <c r="B7" s="193"/>
      <c r="C7" s="193"/>
      <c r="D7" s="193" t="s">
        <v>346</v>
      </c>
      <c r="E7" s="229">
        <f>AVERAGE(E3:E5)</f>
        <v>2.06</v>
      </c>
      <c r="F7" s="199">
        <f>AVERAGE(F3:F5)</f>
        <v>0</v>
      </c>
      <c r="G7" s="199">
        <f>AVERAGE(G3:G5)</f>
        <v>0</v>
      </c>
      <c r="H7" s="199">
        <f>AVERAGE(H3:H5)</f>
        <v>1</v>
      </c>
      <c r="K7" s="217" t="s">
        <v>315</v>
      </c>
      <c r="L7" s="195">
        <v>483630000</v>
      </c>
      <c r="M7" s="193"/>
      <c r="N7" s="193"/>
      <c r="O7" s="193"/>
      <c r="P7" s="193"/>
      <c r="Q7" s="193"/>
      <c r="R7" s="193"/>
      <c r="S7" s="182"/>
      <c r="T7" s="182"/>
      <c r="U7" s="217" t="s">
        <v>315</v>
      </c>
      <c r="V7" s="195">
        <v>114700000</v>
      </c>
      <c r="W7" s="193"/>
      <c r="X7" s="193"/>
      <c r="Y7" s="193"/>
      <c r="Z7" s="193"/>
      <c r="AA7" s="193"/>
      <c r="AB7" s="193"/>
      <c r="AE7" s="217" t="s">
        <v>315</v>
      </c>
      <c r="AF7" s="195">
        <v>553570000</v>
      </c>
      <c r="AG7" s="193"/>
      <c r="AH7" s="193"/>
      <c r="AI7" s="193"/>
      <c r="AJ7" s="193"/>
      <c r="AK7" s="193"/>
      <c r="AL7" s="193"/>
    </row>
    <row r="8" spans="2:38" ht="15.75" x14ac:dyDescent="0.25">
      <c r="B8" s="193"/>
      <c r="C8" s="193"/>
      <c r="D8" s="193" t="s">
        <v>347</v>
      </c>
      <c r="E8" s="229">
        <f>($C$3/SUM($C$3:$C$5))*E3+($C$4/SUM($C$3:$C$5))*E4+($C$5/SUM($C$3:$C$5))*E5</f>
        <v>1.9952889806701006</v>
      </c>
      <c r="F8" s="199">
        <f>($C$3/SUM($C$3:$C$5))*F3+($C$4/SUM($C$3:$C$5))*F4+($C$5/SUM($C$3:$C$5))*F5</f>
        <v>0</v>
      </c>
      <c r="G8" s="199">
        <f t="shared" ref="G8:H8" si="0">($C$3/SUM($C$3:$C$5))*G3+($C$4/SUM($C$3:$C$5))*G4+($C$5/SUM($C$3:$C$5))*G5</f>
        <v>0</v>
      </c>
      <c r="H8" s="199">
        <f t="shared" si="0"/>
        <v>1</v>
      </c>
      <c r="K8" s="217" t="s">
        <v>316</v>
      </c>
      <c r="L8" s="196">
        <v>4.4400000000000002E-2</v>
      </c>
      <c r="M8" s="193"/>
      <c r="N8" s="193"/>
      <c r="O8" s="193"/>
      <c r="P8" s="193"/>
      <c r="Q8" s="193"/>
      <c r="R8" s="193"/>
      <c r="S8" s="182"/>
      <c r="T8" s="182"/>
      <c r="U8" s="217" t="s">
        <v>316</v>
      </c>
      <c r="V8" s="196">
        <v>4.4400000000000002E-2</v>
      </c>
      <c r="W8" s="193"/>
      <c r="X8" s="193"/>
      <c r="Y8" s="193"/>
      <c r="Z8" s="193"/>
      <c r="AA8" s="193"/>
      <c r="AB8" s="193"/>
      <c r="AE8" s="217" t="s">
        <v>316</v>
      </c>
      <c r="AF8" s="196">
        <v>4.4400000000000002E-2</v>
      </c>
      <c r="AG8" s="193"/>
      <c r="AH8" s="193"/>
      <c r="AI8" s="193"/>
      <c r="AJ8" s="193"/>
      <c r="AK8" s="193"/>
      <c r="AL8" s="193"/>
    </row>
    <row r="9" spans="2:38" ht="15.75" x14ac:dyDescent="0.25">
      <c r="B9" s="193"/>
      <c r="C9" s="193"/>
      <c r="D9" s="193"/>
      <c r="E9" s="193"/>
      <c r="F9" s="193"/>
      <c r="G9" s="193"/>
      <c r="H9" s="193"/>
      <c r="K9" s="219" t="s">
        <v>317</v>
      </c>
      <c r="L9" s="196">
        <v>0.1053</v>
      </c>
      <c r="M9" s="193"/>
      <c r="N9" s="193"/>
      <c r="O9" s="193"/>
      <c r="P9" s="193"/>
      <c r="Q9" s="193"/>
      <c r="R9" s="193"/>
      <c r="S9" s="182"/>
      <c r="T9" s="182"/>
      <c r="U9" s="219" t="s">
        <v>317</v>
      </c>
      <c r="V9" s="196">
        <v>0.1053</v>
      </c>
      <c r="W9" s="193"/>
      <c r="X9" s="193"/>
      <c r="Y9" s="193"/>
      <c r="Z9" s="193"/>
      <c r="AA9" s="193"/>
      <c r="AB9" s="193"/>
      <c r="AE9" s="219" t="s">
        <v>317</v>
      </c>
      <c r="AF9" s="196">
        <v>0.1053</v>
      </c>
      <c r="AG9" s="193"/>
      <c r="AH9" s="193"/>
      <c r="AI9" s="193"/>
      <c r="AJ9" s="193"/>
      <c r="AK9" s="193"/>
      <c r="AL9" s="193"/>
    </row>
    <row r="10" spans="2:38" ht="15.75" x14ac:dyDescent="0.25">
      <c r="B10" s="193"/>
      <c r="C10" s="193"/>
      <c r="D10" s="193"/>
      <c r="E10" s="193"/>
      <c r="F10" s="193"/>
      <c r="G10" s="193"/>
      <c r="H10" s="193"/>
      <c r="K10" s="219" t="s">
        <v>336</v>
      </c>
      <c r="L10" s="194">
        <f>L5*L7</f>
        <v>11229888600</v>
      </c>
      <c r="M10" s="193"/>
      <c r="N10" s="193"/>
      <c r="O10" s="193"/>
      <c r="P10" s="193"/>
      <c r="Q10" s="193"/>
      <c r="R10" s="193"/>
      <c r="S10" s="182"/>
      <c r="T10" s="182"/>
      <c r="U10" s="219" t="s">
        <v>318</v>
      </c>
      <c r="V10" s="194">
        <f>V5*V7</f>
        <v>3040697000</v>
      </c>
      <c r="W10" s="193"/>
      <c r="X10" s="193"/>
      <c r="Y10" s="193"/>
      <c r="Z10" s="193"/>
      <c r="AA10" s="193"/>
      <c r="AB10" s="193"/>
      <c r="AE10" s="219" t="s">
        <v>318</v>
      </c>
      <c r="AF10" s="194">
        <f>AF5*AF7</f>
        <v>37105797100</v>
      </c>
      <c r="AG10" s="193"/>
      <c r="AH10" s="193"/>
      <c r="AI10" s="193"/>
      <c r="AJ10" s="193"/>
      <c r="AK10" s="193"/>
      <c r="AL10" s="193"/>
    </row>
    <row r="11" spans="2:38" ht="15.75" x14ac:dyDescent="0.25">
      <c r="B11" s="192" t="s">
        <v>331</v>
      </c>
      <c r="C11" s="199">
        <f>0.044+E8*0.06</f>
        <v>0.16371733884020603</v>
      </c>
      <c r="D11" s="193"/>
      <c r="E11" s="193"/>
      <c r="F11" s="193"/>
      <c r="G11" s="193"/>
      <c r="H11" s="193"/>
      <c r="K11" s="219"/>
      <c r="L11" s="194"/>
      <c r="M11" s="193"/>
      <c r="N11" s="193"/>
      <c r="O11" s="193"/>
      <c r="P11" s="193"/>
      <c r="Q11" s="193"/>
      <c r="R11" s="193"/>
      <c r="S11" s="182"/>
      <c r="T11" s="182"/>
      <c r="U11" s="219"/>
      <c r="V11" s="193"/>
      <c r="W11" s="193"/>
      <c r="X11" s="193"/>
      <c r="Y11" s="193"/>
      <c r="Z11" s="193"/>
      <c r="AA11" s="193"/>
      <c r="AB11" s="193"/>
      <c r="AE11" s="219"/>
      <c r="AF11" s="193"/>
      <c r="AG11" s="193"/>
      <c r="AH11" s="193"/>
      <c r="AI11" s="193"/>
      <c r="AJ11" s="193"/>
      <c r="AK11" s="193"/>
      <c r="AL11" s="193"/>
    </row>
    <row r="12" spans="2:38" ht="15.75" x14ac:dyDescent="0.25">
      <c r="B12" s="193"/>
      <c r="C12" s="193"/>
      <c r="D12" s="193"/>
      <c r="E12" s="193"/>
      <c r="F12" s="193"/>
      <c r="G12" s="193"/>
      <c r="H12" s="193"/>
      <c r="K12" s="218" t="s">
        <v>337</v>
      </c>
      <c r="L12" s="193"/>
      <c r="M12" s="193"/>
      <c r="N12" s="193"/>
      <c r="O12" s="193"/>
      <c r="P12" s="193"/>
      <c r="Q12" s="193"/>
      <c r="R12" s="193"/>
      <c r="S12" s="182"/>
      <c r="T12" s="182"/>
      <c r="U12" s="218" t="s">
        <v>337</v>
      </c>
      <c r="V12" s="193"/>
      <c r="W12" s="193"/>
      <c r="X12" s="193"/>
      <c r="Y12" s="193"/>
      <c r="Z12" s="193"/>
      <c r="AA12" s="193"/>
      <c r="AB12" s="193"/>
      <c r="AE12" s="218" t="s">
        <v>337</v>
      </c>
      <c r="AF12" s="193"/>
      <c r="AG12" s="193"/>
      <c r="AH12" s="193"/>
      <c r="AI12" s="193"/>
      <c r="AJ12" s="193"/>
      <c r="AK12" s="193"/>
      <c r="AL12" s="193"/>
    </row>
    <row r="13" spans="2:38" ht="15.75" x14ac:dyDescent="0.25">
      <c r="B13" s="193"/>
      <c r="C13" s="193"/>
      <c r="D13" s="193"/>
      <c r="E13" s="193"/>
      <c r="F13" s="193"/>
      <c r="G13" s="193"/>
      <c r="H13" s="193"/>
      <c r="K13" s="218"/>
      <c r="L13" s="193"/>
      <c r="M13" s="193"/>
      <c r="N13" s="193"/>
      <c r="O13" s="193"/>
      <c r="P13" s="193"/>
      <c r="Q13" s="193"/>
      <c r="R13" s="193"/>
      <c r="S13" s="182"/>
      <c r="T13" s="182"/>
      <c r="U13" s="218"/>
      <c r="V13" s="193"/>
      <c r="W13" s="193"/>
      <c r="X13" s="193"/>
      <c r="Y13" s="193"/>
      <c r="Z13" s="193"/>
      <c r="AA13" s="193"/>
      <c r="AB13" s="193"/>
      <c r="AE13" s="218"/>
      <c r="AF13" s="193"/>
      <c r="AG13" s="193"/>
      <c r="AH13" s="193"/>
      <c r="AI13" s="193"/>
      <c r="AJ13" s="193"/>
      <c r="AK13" s="193"/>
      <c r="AL13" s="193"/>
    </row>
    <row r="14" spans="2:38" ht="15.75" x14ac:dyDescent="0.25">
      <c r="B14" s="192" t="s">
        <v>313</v>
      </c>
      <c r="C14" s="230">
        <f>F8*G8*(1-0.21)+H8*C11</f>
        <v>0.16371733884020603</v>
      </c>
      <c r="D14" s="193"/>
      <c r="E14" s="193"/>
      <c r="F14" s="193"/>
      <c r="G14" s="193"/>
      <c r="H14" s="193"/>
      <c r="K14" s="220" t="s">
        <v>319</v>
      </c>
      <c r="L14" s="198" t="s">
        <v>320</v>
      </c>
      <c r="M14" s="198"/>
      <c r="N14" s="198" t="s">
        <v>321</v>
      </c>
      <c r="O14" s="198"/>
      <c r="P14" s="198" t="s">
        <v>322</v>
      </c>
      <c r="Q14" s="198"/>
      <c r="R14" s="198" t="s">
        <v>323</v>
      </c>
      <c r="S14" s="182"/>
      <c r="T14" s="182"/>
      <c r="U14" s="220" t="s">
        <v>319</v>
      </c>
      <c r="V14" s="198" t="s">
        <v>320</v>
      </c>
      <c r="W14" s="198"/>
      <c r="X14" s="198" t="s">
        <v>321</v>
      </c>
      <c r="Y14" s="198"/>
      <c r="Z14" s="198" t="s">
        <v>322</v>
      </c>
      <c r="AA14" s="198"/>
      <c r="AB14" s="198" t="s">
        <v>323</v>
      </c>
      <c r="AE14" s="220" t="s">
        <v>319</v>
      </c>
      <c r="AF14" s="198" t="s">
        <v>320</v>
      </c>
      <c r="AG14" s="198"/>
      <c r="AH14" s="198" t="s">
        <v>321</v>
      </c>
      <c r="AI14" s="198"/>
      <c r="AJ14" s="198" t="s">
        <v>322</v>
      </c>
      <c r="AK14" s="198"/>
      <c r="AL14" s="198" t="s">
        <v>323</v>
      </c>
    </row>
    <row r="15" spans="2:38" ht="15.75" x14ac:dyDescent="0.25">
      <c r="B15" s="193" t="s">
        <v>348</v>
      </c>
      <c r="C15" s="231">
        <v>0.06</v>
      </c>
      <c r="D15" s="193"/>
      <c r="E15" s="193"/>
      <c r="F15" s="193"/>
      <c r="G15" s="193"/>
      <c r="H15" s="193"/>
      <c r="K15" s="217"/>
      <c r="L15" s="193"/>
      <c r="M15" s="193"/>
      <c r="N15" s="193"/>
      <c r="O15" s="193"/>
      <c r="P15" s="196"/>
      <c r="Q15" s="193"/>
      <c r="R15" s="199"/>
      <c r="S15" s="182"/>
      <c r="T15" s="182"/>
      <c r="U15" s="217"/>
      <c r="V15" s="193"/>
      <c r="W15" s="193"/>
      <c r="X15" s="193"/>
      <c r="Y15" s="193"/>
      <c r="Z15" s="196"/>
      <c r="AA15" s="193"/>
      <c r="AB15" s="199"/>
      <c r="AE15" s="217"/>
      <c r="AF15" s="193"/>
      <c r="AG15" s="193"/>
      <c r="AH15" s="193"/>
      <c r="AI15" s="193"/>
      <c r="AJ15" s="196"/>
      <c r="AK15" s="193"/>
      <c r="AL15" s="199"/>
    </row>
    <row r="16" spans="2:38" ht="15.75" x14ac:dyDescent="0.25">
      <c r="B16" s="192" t="s">
        <v>349</v>
      </c>
      <c r="C16" s="232">
        <f>C14+C15</f>
        <v>0.22371733884020603</v>
      </c>
      <c r="D16" s="193"/>
      <c r="E16" s="193"/>
      <c r="F16" s="193"/>
      <c r="G16" s="193"/>
      <c r="H16" s="193"/>
      <c r="K16" s="221" t="s">
        <v>324</v>
      </c>
      <c r="L16" s="201">
        <v>0</v>
      </c>
      <c r="M16" s="193"/>
      <c r="N16" s="200" t="s">
        <v>325</v>
      </c>
      <c r="O16" s="200"/>
      <c r="P16" s="200"/>
      <c r="Q16" s="200"/>
      <c r="R16" s="202">
        <v>0</v>
      </c>
      <c r="S16" s="182"/>
      <c r="T16" s="182"/>
      <c r="U16" s="221" t="s">
        <v>324</v>
      </c>
      <c r="V16" s="201">
        <v>0</v>
      </c>
      <c r="W16" s="193"/>
      <c r="X16" s="200" t="s">
        <v>325</v>
      </c>
      <c r="Y16" s="200"/>
      <c r="Z16" s="200"/>
      <c r="AA16" s="200"/>
      <c r="AB16" s="202">
        <v>0</v>
      </c>
      <c r="AE16" s="221" t="s">
        <v>324</v>
      </c>
      <c r="AF16" s="201">
        <v>0</v>
      </c>
      <c r="AG16" s="193"/>
      <c r="AH16" s="200" t="s">
        <v>325</v>
      </c>
      <c r="AI16" s="200"/>
      <c r="AJ16" s="200"/>
      <c r="AK16" s="200"/>
      <c r="AL16" s="202">
        <v>0</v>
      </c>
    </row>
    <row r="17" spans="11:38" ht="15.75" x14ac:dyDescent="0.25">
      <c r="K17" s="217"/>
      <c r="L17" s="193"/>
      <c r="M17" s="193"/>
      <c r="N17" s="193"/>
      <c r="O17" s="193"/>
      <c r="P17" s="193"/>
      <c r="Q17" s="193"/>
      <c r="R17" s="193"/>
      <c r="S17" s="182"/>
      <c r="T17" s="182"/>
      <c r="U17" s="217"/>
      <c r="V17" s="193"/>
      <c r="W17" s="193"/>
      <c r="X17" s="193"/>
      <c r="Y17" s="193"/>
      <c r="Z17" s="193"/>
      <c r="AA17" s="193"/>
      <c r="AB17" s="193"/>
      <c r="AE17" s="217"/>
      <c r="AF17" s="193"/>
      <c r="AG17" s="193"/>
      <c r="AH17" s="193"/>
      <c r="AI17" s="193"/>
      <c r="AJ17" s="193"/>
      <c r="AK17" s="193"/>
      <c r="AL17" s="193"/>
    </row>
    <row r="18" spans="11:38" ht="15.75" x14ac:dyDescent="0.25">
      <c r="K18" s="217"/>
      <c r="L18" s="193"/>
      <c r="M18" s="193"/>
      <c r="N18" s="193"/>
      <c r="O18" s="193"/>
      <c r="P18" s="193"/>
      <c r="Q18" s="193"/>
      <c r="R18" s="193"/>
      <c r="S18" s="182"/>
      <c r="T18" s="182"/>
      <c r="U18" s="217"/>
      <c r="V18" s="193"/>
      <c r="W18" s="193"/>
      <c r="X18" s="193"/>
      <c r="Y18" s="193"/>
      <c r="Z18" s="193"/>
      <c r="AA18" s="193"/>
      <c r="AB18" s="193"/>
      <c r="AE18" s="217"/>
      <c r="AF18" s="193"/>
      <c r="AG18" s="193"/>
      <c r="AH18" s="193"/>
      <c r="AI18" s="193"/>
      <c r="AJ18" s="193"/>
      <c r="AK18" s="193"/>
      <c r="AL18" s="193"/>
    </row>
    <row r="19" spans="11:38" ht="15.75" x14ac:dyDescent="0.25">
      <c r="K19" s="222" t="s">
        <v>326</v>
      </c>
      <c r="L19" s="197"/>
      <c r="M19" s="197"/>
      <c r="N19" s="197"/>
      <c r="O19" s="197"/>
      <c r="P19" s="197"/>
      <c r="Q19" s="197"/>
      <c r="R19" s="197"/>
      <c r="S19" s="182"/>
      <c r="T19" s="182"/>
      <c r="U19" s="222" t="s">
        <v>326</v>
      </c>
      <c r="V19" s="197"/>
      <c r="W19" s="197"/>
      <c r="X19" s="197"/>
      <c r="Y19" s="197"/>
      <c r="Z19" s="197"/>
      <c r="AA19" s="197"/>
      <c r="AB19" s="197"/>
      <c r="AE19" s="222" t="s">
        <v>326</v>
      </c>
      <c r="AF19" s="197"/>
      <c r="AG19" s="197"/>
      <c r="AH19" s="197"/>
      <c r="AI19" s="197"/>
      <c r="AJ19" s="197"/>
      <c r="AK19" s="197"/>
      <c r="AL19" s="197"/>
    </row>
    <row r="20" spans="11:38" ht="15.75" x14ac:dyDescent="0.25">
      <c r="K20" s="223"/>
      <c r="L20" s="197"/>
      <c r="M20" s="203" t="s">
        <v>327</v>
      </c>
      <c r="N20" s="197"/>
      <c r="O20" s="197"/>
      <c r="P20" s="197"/>
      <c r="Q20" s="197"/>
      <c r="R20" s="197"/>
      <c r="S20" s="182"/>
      <c r="T20" s="182"/>
      <c r="U20" s="223"/>
      <c r="V20" s="197"/>
      <c r="W20" s="203" t="s">
        <v>327</v>
      </c>
      <c r="X20" s="197"/>
      <c r="Y20" s="197"/>
      <c r="Z20" s="197"/>
      <c r="AA20" s="197"/>
      <c r="AB20" s="197"/>
      <c r="AE20" s="223"/>
      <c r="AF20" s="197"/>
      <c r="AG20" s="203" t="s">
        <v>327</v>
      </c>
      <c r="AH20" s="197"/>
      <c r="AI20" s="197"/>
      <c r="AJ20" s="197"/>
      <c r="AK20" s="197"/>
      <c r="AL20" s="197"/>
    </row>
    <row r="21" spans="11:38" ht="15.75" x14ac:dyDescent="0.25">
      <c r="K21" s="219" t="s">
        <v>328</v>
      </c>
      <c r="L21" s="197">
        <f>L16*1000000</f>
        <v>0</v>
      </c>
      <c r="M21" s="204">
        <f>L21/$L$23</f>
        <v>0</v>
      </c>
      <c r="N21" s="197"/>
      <c r="O21" s="197"/>
      <c r="P21" s="197"/>
      <c r="Q21" s="197"/>
      <c r="R21" s="197"/>
      <c r="S21" s="182"/>
      <c r="T21" s="182"/>
      <c r="U21" s="219" t="s">
        <v>328</v>
      </c>
      <c r="V21" s="197">
        <f>V16*1000000</f>
        <v>0</v>
      </c>
      <c r="W21" s="204">
        <f>V21/$V$23</f>
        <v>0</v>
      </c>
      <c r="X21" s="197"/>
      <c r="Y21" s="197"/>
      <c r="Z21" s="197"/>
      <c r="AA21" s="197"/>
      <c r="AB21" s="197"/>
      <c r="AE21" s="219" t="s">
        <v>328</v>
      </c>
      <c r="AF21" s="197">
        <f>AF16*1000000</f>
        <v>0</v>
      </c>
      <c r="AG21" s="204">
        <f>AF21/$AF$23</f>
        <v>0</v>
      </c>
      <c r="AH21" s="197"/>
      <c r="AI21" s="197"/>
      <c r="AJ21" s="197"/>
      <c r="AK21" s="197"/>
      <c r="AL21" s="197"/>
    </row>
    <row r="22" spans="11:38" ht="15.75" x14ac:dyDescent="0.25">
      <c r="K22" s="219" t="s">
        <v>329</v>
      </c>
      <c r="L22" s="205">
        <f>L5*L7</f>
        <v>11229888600</v>
      </c>
      <c r="M22" s="206">
        <f>L22/$L$23</f>
        <v>1</v>
      </c>
      <c r="N22" s="197"/>
      <c r="O22" s="197"/>
      <c r="P22" s="197"/>
      <c r="Q22" s="197"/>
      <c r="R22" s="197"/>
      <c r="S22" s="182"/>
      <c r="T22" s="182"/>
      <c r="U22" s="219" t="s">
        <v>329</v>
      </c>
      <c r="V22" s="205">
        <f>V5*V7</f>
        <v>3040697000</v>
      </c>
      <c r="W22" s="206">
        <f>V22/$V$23</f>
        <v>1</v>
      </c>
      <c r="X22" s="197"/>
      <c r="Y22" s="197"/>
      <c r="Z22" s="197"/>
      <c r="AA22" s="197"/>
      <c r="AB22" s="197"/>
      <c r="AE22" s="219" t="s">
        <v>329</v>
      </c>
      <c r="AF22" s="205">
        <f>AF5*AF7</f>
        <v>37105797100</v>
      </c>
      <c r="AG22" s="206">
        <f>AF22/$AF$23</f>
        <v>1</v>
      </c>
      <c r="AH22" s="197"/>
      <c r="AI22" s="197"/>
      <c r="AJ22" s="197"/>
      <c r="AK22" s="197"/>
      <c r="AL22" s="197"/>
    </row>
    <row r="23" spans="11:38" ht="15.75" x14ac:dyDescent="0.25">
      <c r="K23" s="219" t="s">
        <v>176</v>
      </c>
      <c r="L23" s="197">
        <f>SUM(L21:L22)</f>
        <v>11229888600</v>
      </c>
      <c r="M23" s="204">
        <f>L23/$L$23</f>
        <v>1</v>
      </c>
      <c r="N23" s="197"/>
      <c r="O23" s="197"/>
      <c r="P23" s="197"/>
      <c r="Q23" s="197"/>
      <c r="R23" s="197"/>
      <c r="S23" s="182"/>
      <c r="T23" s="182"/>
      <c r="U23" s="219" t="s">
        <v>176</v>
      </c>
      <c r="V23" s="197">
        <f>SUM(V21:V22)</f>
        <v>3040697000</v>
      </c>
      <c r="W23" s="204">
        <f>V23/$V$23</f>
        <v>1</v>
      </c>
      <c r="X23" s="197"/>
      <c r="Y23" s="197"/>
      <c r="Z23" s="197"/>
      <c r="AA23" s="197"/>
      <c r="AB23" s="197"/>
      <c r="AE23" s="219" t="s">
        <v>176</v>
      </c>
      <c r="AF23" s="197">
        <f>SUM(AF21:AF22)</f>
        <v>37105797100</v>
      </c>
      <c r="AG23" s="204">
        <f>AF23/$AF$23</f>
        <v>1</v>
      </c>
      <c r="AH23" s="197"/>
      <c r="AI23" s="197"/>
      <c r="AJ23" s="197"/>
      <c r="AK23" s="197"/>
      <c r="AL23" s="197"/>
    </row>
    <row r="24" spans="11:38" ht="15.75" x14ac:dyDescent="0.25">
      <c r="K24" s="219"/>
      <c r="L24" s="197"/>
      <c r="M24" s="197"/>
      <c r="N24" s="207"/>
      <c r="O24" s="197"/>
      <c r="P24" s="197"/>
      <c r="Q24" s="197"/>
      <c r="R24" s="197"/>
      <c r="S24" s="182"/>
      <c r="T24" s="182"/>
      <c r="U24" s="219"/>
      <c r="V24" s="197"/>
      <c r="W24" s="197"/>
      <c r="X24" s="207"/>
      <c r="Y24" s="197"/>
      <c r="Z24" s="197"/>
      <c r="AA24" s="197"/>
      <c r="AB24" s="197"/>
      <c r="AE24" s="219"/>
      <c r="AF24" s="197"/>
      <c r="AG24" s="197"/>
      <c r="AH24" s="207"/>
      <c r="AI24" s="197"/>
      <c r="AJ24" s="197"/>
      <c r="AK24" s="197"/>
      <c r="AL24" s="197"/>
    </row>
    <row r="25" spans="11:38" ht="15.75" x14ac:dyDescent="0.25">
      <c r="K25" s="223" t="s">
        <v>330</v>
      </c>
      <c r="L25" s="208">
        <v>0.35</v>
      </c>
      <c r="M25" s="197"/>
      <c r="N25" s="207"/>
      <c r="O25" s="197"/>
      <c r="P25" s="197"/>
      <c r="Q25" s="197"/>
      <c r="R25" s="197"/>
      <c r="S25" s="182"/>
      <c r="T25" s="182"/>
      <c r="U25" s="223" t="s">
        <v>330</v>
      </c>
      <c r="V25" s="208">
        <v>0.35</v>
      </c>
      <c r="W25" s="197"/>
      <c r="X25" s="207"/>
      <c r="Y25" s="197"/>
      <c r="Z25" s="197"/>
      <c r="AA25" s="197"/>
      <c r="AB25" s="197"/>
      <c r="AE25" s="223" t="s">
        <v>330</v>
      </c>
      <c r="AF25" s="208">
        <v>0.35</v>
      </c>
      <c r="AG25" s="197"/>
      <c r="AH25" s="207"/>
      <c r="AI25" s="197"/>
      <c r="AJ25" s="197"/>
      <c r="AK25" s="197"/>
      <c r="AL25" s="197"/>
    </row>
    <row r="26" spans="11:38" ht="15.75" x14ac:dyDescent="0.25">
      <c r="K26" s="223"/>
      <c r="L26" s="208"/>
      <c r="M26" s="197"/>
      <c r="N26" s="207"/>
      <c r="O26" s="197"/>
      <c r="P26" s="197"/>
      <c r="Q26" s="197"/>
      <c r="R26" s="197"/>
      <c r="S26" s="182"/>
      <c r="T26" s="182"/>
      <c r="U26" s="223"/>
      <c r="V26" s="208"/>
      <c r="W26" s="197"/>
      <c r="X26" s="207"/>
      <c r="Y26" s="197"/>
      <c r="Z26" s="197"/>
      <c r="AA26" s="197"/>
      <c r="AB26" s="197"/>
      <c r="AE26" s="223"/>
      <c r="AF26" s="208"/>
      <c r="AG26" s="197"/>
      <c r="AH26" s="207"/>
      <c r="AI26" s="197"/>
      <c r="AJ26" s="197"/>
      <c r="AK26" s="197"/>
      <c r="AL26" s="197"/>
    </row>
    <row r="27" spans="11:38" ht="15.75" x14ac:dyDescent="0.25">
      <c r="K27" s="224" t="s">
        <v>331</v>
      </c>
      <c r="L27" s="199">
        <f>L8+L6*(L9-L8)</f>
        <v>0.170463</v>
      </c>
      <c r="M27" s="197"/>
      <c r="N27" s="207"/>
      <c r="O27" s="197"/>
      <c r="P27" s="197"/>
      <c r="Q27" s="197"/>
      <c r="R27" s="197"/>
      <c r="S27" s="182"/>
      <c r="T27" s="182"/>
      <c r="U27" s="224" t="s">
        <v>331</v>
      </c>
      <c r="V27" s="199">
        <f>V8+V6*(V9-V8)</f>
        <v>0.17533499999999999</v>
      </c>
      <c r="W27" s="197"/>
      <c r="X27" s="207"/>
      <c r="Y27" s="197"/>
      <c r="Z27" s="197"/>
      <c r="AA27" s="197"/>
      <c r="AB27" s="197"/>
      <c r="AE27" s="224" t="s">
        <v>331</v>
      </c>
      <c r="AF27" s="199">
        <f>AF8+AF6*(AF9-AF8)</f>
        <v>0.16376399999999999</v>
      </c>
      <c r="AG27" s="197"/>
      <c r="AH27" s="207"/>
      <c r="AI27" s="197"/>
      <c r="AJ27" s="197"/>
      <c r="AK27" s="197"/>
      <c r="AL27" s="197"/>
    </row>
    <row r="28" spans="11:38" ht="15.75" x14ac:dyDescent="0.25">
      <c r="K28" s="223"/>
      <c r="L28" s="208"/>
      <c r="M28" s="197"/>
      <c r="N28" s="207"/>
      <c r="O28" s="197"/>
      <c r="P28" s="197"/>
      <c r="Q28" s="197"/>
      <c r="R28" s="197"/>
      <c r="S28" s="182"/>
      <c r="T28" s="182"/>
      <c r="U28" s="223"/>
      <c r="V28" s="208"/>
      <c r="W28" s="197"/>
      <c r="X28" s="207"/>
      <c r="Y28" s="197"/>
      <c r="Z28" s="197"/>
      <c r="AA28" s="197"/>
      <c r="AB28" s="197"/>
      <c r="AE28" s="223"/>
      <c r="AF28" s="208"/>
      <c r="AG28" s="197"/>
      <c r="AH28" s="207"/>
      <c r="AI28" s="197"/>
      <c r="AJ28" s="197"/>
      <c r="AK28" s="197"/>
      <c r="AL28" s="197"/>
    </row>
    <row r="29" spans="11:38" ht="15.75" x14ac:dyDescent="0.25">
      <c r="K29" s="219"/>
      <c r="L29" s="197"/>
      <c r="M29" s="197"/>
      <c r="N29" s="197"/>
      <c r="O29" s="197"/>
      <c r="P29" s="197"/>
      <c r="Q29" s="197"/>
      <c r="R29" s="197"/>
      <c r="S29" s="182"/>
      <c r="T29" s="182"/>
      <c r="U29" s="219"/>
      <c r="V29" s="197"/>
      <c r="W29" s="197"/>
      <c r="X29" s="197"/>
      <c r="Y29" s="197"/>
      <c r="Z29" s="197"/>
      <c r="AA29" s="197"/>
      <c r="AB29" s="197"/>
      <c r="AE29" s="219"/>
      <c r="AF29" s="197"/>
      <c r="AG29" s="197"/>
      <c r="AH29" s="197"/>
      <c r="AI29" s="197"/>
      <c r="AJ29" s="197"/>
      <c r="AK29" s="197"/>
      <c r="AL29" s="197"/>
    </row>
    <row r="30" spans="11:38" ht="15.75" x14ac:dyDescent="0.25">
      <c r="K30" s="225" t="s">
        <v>313</v>
      </c>
      <c r="L30" s="205"/>
      <c r="M30" s="205"/>
      <c r="N30" s="205"/>
      <c r="O30" s="197"/>
      <c r="P30" s="197"/>
      <c r="Q30" s="197"/>
      <c r="R30" s="197"/>
      <c r="S30" s="182"/>
      <c r="T30" s="182"/>
      <c r="U30" s="225" t="s">
        <v>313</v>
      </c>
      <c r="V30" s="205"/>
      <c r="W30" s="205"/>
      <c r="X30" s="205"/>
      <c r="Y30" s="197"/>
      <c r="Z30" s="197"/>
      <c r="AA30" s="197"/>
      <c r="AB30" s="197"/>
      <c r="AE30" s="225" t="s">
        <v>313</v>
      </c>
      <c r="AF30" s="205"/>
      <c r="AG30" s="205"/>
      <c r="AH30" s="205"/>
      <c r="AI30" s="197"/>
      <c r="AJ30" s="197"/>
      <c r="AK30" s="197"/>
      <c r="AL30" s="197"/>
    </row>
    <row r="31" spans="11:38" ht="15.75" x14ac:dyDescent="0.25">
      <c r="K31" s="219"/>
      <c r="L31" s="209" t="s">
        <v>322</v>
      </c>
      <c r="M31" s="209" t="s">
        <v>332</v>
      </c>
      <c r="N31" s="209" t="s">
        <v>333</v>
      </c>
      <c r="O31" s="197"/>
      <c r="P31" s="197"/>
      <c r="Q31" s="197"/>
      <c r="R31" s="197"/>
      <c r="S31" s="182"/>
      <c r="T31" s="182"/>
      <c r="U31" s="219"/>
      <c r="V31" s="209" t="s">
        <v>322</v>
      </c>
      <c r="W31" s="209" t="s">
        <v>332</v>
      </c>
      <c r="X31" s="209" t="s">
        <v>333</v>
      </c>
      <c r="Y31" s="197"/>
      <c r="Z31" s="197"/>
      <c r="AA31" s="197"/>
      <c r="AB31" s="197"/>
      <c r="AE31" s="219"/>
      <c r="AF31" s="209" t="s">
        <v>322</v>
      </c>
      <c r="AG31" s="209" t="s">
        <v>332</v>
      </c>
      <c r="AH31" s="209" t="s">
        <v>333</v>
      </c>
      <c r="AI31" s="197"/>
      <c r="AJ31" s="197"/>
      <c r="AK31" s="197"/>
      <c r="AL31" s="197"/>
    </row>
    <row r="32" spans="11:38" ht="15.75" x14ac:dyDescent="0.25">
      <c r="K32" s="219" t="s">
        <v>328</v>
      </c>
      <c r="L32" s="210">
        <f>M21</f>
        <v>0</v>
      </c>
      <c r="M32" s="210">
        <f>R16*(1-L25)</f>
        <v>0</v>
      </c>
      <c r="N32" s="210">
        <f t="shared" ref="N32:N33" si="1">L32*M32</f>
        <v>0</v>
      </c>
      <c r="O32" s="197"/>
      <c r="P32" s="197"/>
      <c r="Q32" s="197"/>
      <c r="R32" s="197"/>
      <c r="S32" s="182"/>
      <c r="T32" s="182"/>
      <c r="U32" s="219" t="s">
        <v>328</v>
      </c>
      <c r="V32" s="210">
        <f>W21</f>
        <v>0</v>
      </c>
      <c r="W32" s="210">
        <f>AB16*(1-V25)</f>
        <v>0</v>
      </c>
      <c r="X32" s="210">
        <f t="shared" ref="X32:X33" si="2">V32*W32</f>
        <v>0</v>
      </c>
      <c r="Y32" s="197"/>
      <c r="Z32" s="197"/>
      <c r="AA32" s="197"/>
      <c r="AB32" s="197"/>
      <c r="AE32" s="219" t="s">
        <v>328</v>
      </c>
      <c r="AF32" s="210">
        <f>AG21</f>
        <v>0</v>
      </c>
      <c r="AG32" s="210">
        <f>AL16*(1-AF25)</f>
        <v>0</v>
      </c>
      <c r="AH32" s="210">
        <f t="shared" ref="AH32:AH33" si="3">AF32*AG32</f>
        <v>0</v>
      </c>
      <c r="AI32" s="197"/>
      <c r="AJ32" s="197"/>
      <c r="AK32" s="197"/>
      <c r="AL32" s="197"/>
    </row>
    <row r="33" spans="1:38" ht="15.75" x14ac:dyDescent="0.25">
      <c r="K33" s="219" t="s">
        <v>329</v>
      </c>
      <c r="L33" s="210">
        <f>M22</f>
        <v>1</v>
      </c>
      <c r="M33" s="210">
        <f>L8+L6*(L9-L8)</f>
        <v>0.170463</v>
      </c>
      <c r="N33" s="211">
        <f t="shared" si="1"/>
        <v>0.170463</v>
      </c>
      <c r="O33" s="197"/>
      <c r="P33" s="197"/>
      <c r="Q33" s="197"/>
      <c r="R33" s="197"/>
      <c r="S33" s="182"/>
      <c r="T33" s="182"/>
      <c r="U33" s="219" t="s">
        <v>329</v>
      </c>
      <c r="V33" s="210">
        <f>W22</f>
        <v>1</v>
      </c>
      <c r="W33" s="210">
        <f>V8+V6*(V9-V8)</f>
        <v>0.17533499999999999</v>
      </c>
      <c r="X33" s="211">
        <f t="shared" si="2"/>
        <v>0.17533499999999999</v>
      </c>
      <c r="Y33" s="197"/>
      <c r="Z33" s="197"/>
      <c r="AA33" s="197"/>
      <c r="AB33" s="197"/>
      <c r="AE33" s="219" t="s">
        <v>329</v>
      </c>
      <c r="AF33" s="210">
        <f>AG22</f>
        <v>1</v>
      </c>
      <c r="AG33" s="210">
        <f>AF8+AF6*(AF9-AF8)</f>
        <v>0.16376399999999999</v>
      </c>
      <c r="AH33" s="211">
        <f t="shared" si="3"/>
        <v>0.16376399999999999</v>
      </c>
      <c r="AI33" s="197"/>
      <c r="AJ33" s="197"/>
      <c r="AK33" s="197"/>
      <c r="AL33" s="197"/>
    </row>
    <row r="34" spans="1:38" ht="15.75" x14ac:dyDescent="0.25">
      <c r="K34" s="219"/>
      <c r="L34" s="212"/>
      <c r="M34" s="212"/>
      <c r="N34" s="213">
        <f>SUM(N32:N33)</f>
        <v>0.170463</v>
      </c>
      <c r="O34" s="197"/>
      <c r="P34" s="197"/>
      <c r="Q34" s="197"/>
      <c r="R34" s="197"/>
      <c r="S34" s="182"/>
      <c r="T34" s="182"/>
      <c r="U34" s="219"/>
      <c r="V34" s="212"/>
      <c r="W34" s="212"/>
      <c r="X34" s="213">
        <f>SUM(X32:X33)</f>
        <v>0.17533499999999999</v>
      </c>
      <c r="Y34" s="197"/>
      <c r="Z34" s="197"/>
      <c r="AA34" s="197"/>
      <c r="AB34" s="197"/>
      <c r="AE34" s="219"/>
      <c r="AF34" s="212"/>
      <c r="AG34" s="212"/>
      <c r="AH34" s="213">
        <f>SUM(AH32:AH33)</f>
        <v>0.16376399999999999</v>
      </c>
      <c r="AI34" s="197"/>
      <c r="AJ34" s="197"/>
      <c r="AK34" s="197"/>
      <c r="AL34" s="197"/>
    </row>
    <row r="35" spans="1:38" ht="15.75" x14ac:dyDescent="0.25">
      <c r="K35" s="224"/>
      <c r="L35" s="197"/>
      <c r="M35" s="197"/>
      <c r="N35" s="197"/>
      <c r="O35" s="197"/>
      <c r="P35" s="197"/>
      <c r="Q35" s="197"/>
      <c r="R35" s="197"/>
      <c r="S35" s="182"/>
      <c r="T35" s="182"/>
      <c r="U35" s="224"/>
      <c r="V35" s="197"/>
      <c r="W35" s="197"/>
      <c r="X35" s="197"/>
      <c r="Y35" s="197"/>
      <c r="Z35" s="197"/>
      <c r="AA35" s="197"/>
      <c r="AB35" s="197"/>
      <c r="AE35" s="224"/>
      <c r="AF35" s="197"/>
      <c r="AG35" s="197"/>
      <c r="AH35" s="197"/>
      <c r="AI35" s="197"/>
      <c r="AJ35" s="197"/>
      <c r="AK35" s="197"/>
      <c r="AL35" s="197"/>
    </row>
    <row r="36" spans="1:38" ht="16.5" thickBot="1" x14ac:dyDescent="0.3">
      <c r="K36" s="226" t="s">
        <v>190</v>
      </c>
      <c r="L36" s="214">
        <f>L37</f>
        <v>0.170463</v>
      </c>
      <c r="M36" s="197"/>
      <c r="N36" s="197"/>
      <c r="O36" s="197"/>
      <c r="P36" s="197"/>
      <c r="Q36" s="197"/>
      <c r="R36" s="197"/>
      <c r="S36" s="182"/>
      <c r="T36" s="182"/>
      <c r="U36" s="226" t="s">
        <v>190</v>
      </c>
      <c r="V36" s="214">
        <f>V37</f>
        <v>0.17533499999999999</v>
      </c>
      <c r="W36" s="197"/>
      <c r="X36" s="197"/>
      <c r="Y36" s="197"/>
      <c r="Z36" s="197"/>
      <c r="AA36" s="197"/>
      <c r="AB36" s="197"/>
      <c r="AE36" s="226" t="s">
        <v>190</v>
      </c>
      <c r="AF36" s="214">
        <f>AF37</f>
        <v>0.16376399999999999</v>
      </c>
      <c r="AG36" s="197"/>
      <c r="AH36" s="197"/>
      <c r="AI36" s="197"/>
      <c r="AJ36" s="197"/>
      <c r="AK36" s="197"/>
      <c r="AL36" s="197"/>
    </row>
    <row r="37" spans="1:38" ht="16.5" thickBot="1" x14ac:dyDescent="0.3">
      <c r="K37" s="226" t="s">
        <v>190</v>
      </c>
      <c r="L37" s="215">
        <f>(L32*R16*(1-L25))+(L33*M33)</f>
        <v>0.170463</v>
      </c>
      <c r="M37" s="197"/>
      <c r="N37" s="197"/>
      <c r="O37" s="197"/>
      <c r="P37" s="197"/>
      <c r="Q37" s="197"/>
      <c r="R37" s="197"/>
      <c r="S37" s="182"/>
      <c r="T37" s="182"/>
      <c r="U37" s="226" t="s">
        <v>190</v>
      </c>
      <c r="V37" s="215">
        <f>(V32*AB16*(1-V25))+(V33*W33)</f>
        <v>0.17533499999999999</v>
      </c>
      <c r="W37" s="197"/>
      <c r="X37" s="197"/>
      <c r="Y37" s="197"/>
      <c r="Z37" s="197"/>
      <c r="AA37" s="197"/>
      <c r="AB37" s="197"/>
      <c r="AE37" s="226" t="s">
        <v>190</v>
      </c>
      <c r="AF37" s="215">
        <f>(AF32*AL16*(1-AF25))+(AF33*AG33)</f>
        <v>0.16376399999999999</v>
      </c>
      <c r="AG37" s="197"/>
      <c r="AH37" s="197"/>
      <c r="AI37" s="197"/>
      <c r="AJ37" s="197"/>
      <c r="AK37" s="197"/>
      <c r="AL37" s="197"/>
    </row>
    <row r="38" spans="1:38" ht="14.25" x14ac:dyDescent="0.2">
      <c r="A38" s="182"/>
      <c r="B38" s="182"/>
      <c r="C38" s="182"/>
      <c r="D38" s="182"/>
      <c r="E38" s="182"/>
      <c r="F38" s="182"/>
      <c r="G38" s="182"/>
      <c r="H38" s="182"/>
      <c r="I38" s="182"/>
      <c r="J38" s="182"/>
      <c r="K38" s="182"/>
    </row>
    <row r="39" spans="1:38" x14ac:dyDescent="0.2">
      <c r="D39" s="57"/>
      <c r="E39" s="1"/>
    </row>
    <row r="40" spans="1:38" x14ac:dyDescent="0.2">
      <c r="D40" s="1"/>
      <c r="E40" s="1"/>
    </row>
    <row r="41" spans="1:38" x14ac:dyDescent="0.2">
      <c r="D41" s="1"/>
      <c r="E41" s="1"/>
    </row>
    <row r="42" spans="1:38" x14ac:dyDescent="0.2">
      <c r="D42" s="1"/>
      <c r="E42" s="1"/>
    </row>
    <row r="43" spans="1:38" x14ac:dyDescent="0.2">
      <c r="D43" s="1"/>
      <c r="E43" s="1"/>
    </row>
    <row r="44" spans="1:38" x14ac:dyDescent="0.2">
      <c r="D44" s="1"/>
      <c r="E44" s="1"/>
    </row>
    <row r="45" spans="1:38" x14ac:dyDescent="0.2">
      <c r="D45" s="1"/>
      <c r="E45" s="181"/>
    </row>
    <row r="46" spans="1:38" x14ac:dyDescent="0.2">
      <c r="D46" s="1"/>
      <c r="E46" s="1"/>
    </row>
    <row r="47" spans="1:38" x14ac:dyDescent="0.2">
      <c r="D47" s="118"/>
      <c r="E47" s="1"/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2100-9D8A-4462-A1AD-17F95AA1C73B}">
  <sheetPr codeName="Sheet10"/>
  <dimension ref="A1:AT46"/>
  <sheetViews>
    <sheetView topLeftCell="A21" zoomScale="90" zoomScaleNormal="90" workbookViewId="0">
      <selection activeCell="H41" sqref="H41"/>
    </sheetView>
  </sheetViews>
  <sheetFormatPr defaultColWidth="8.7109375" defaultRowHeight="12.75" x14ac:dyDescent="0.2"/>
  <cols>
    <col min="1" max="1" width="10.85546875" style="1" bestFit="1" customWidth="1"/>
    <col min="2" max="3" width="14" style="1" bestFit="1" customWidth="1"/>
    <col min="4" max="4" width="15" style="1" bestFit="1" customWidth="1"/>
    <col min="5" max="5" width="17.7109375" style="1" bestFit="1" customWidth="1"/>
    <col min="6" max="6" width="14" style="1" bestFit="1" customWidth="1"/>
    <col min="7" max="7" width="9" style="1" bestFit="1" customWidth="1"/>
    <col min="8" max="8" width="12.85546875" style="1" bestFit="1" customWidth="1"/>
    <col min="9" max="9" width="13.5703125" style="1" customWidth="1"/>
    <col min="10" max="10" width="8.7109375" style="1" customWidth="1"/>
    <col min="11" max="11" width="9" style="1" bestFit="1" customWidth="1"/>
    <col min="12" max="12" width="14.85546875" style="1" bestFit="1" customWidth="1"/>
    <col min="13" max="13" width="10.85546875" style="1" bestFit="1" customWidth="1"/>
    <col min="14" max="15" width="14" style="1" bestFit="1" customWidth="1"/>
    <col min="16" max="16" width="15" style="1" bestFit="1" customWidth="1"/>
    <col min="17" max="17" width="17.7109375" style="1" bestFit="1" customWidth="1"/>
    <col min="18" max="18" width="14" style="1" bestFit="1" customWidth="1"/>
    <col min="19" max="19" width="8" style="1" bestFit="1" customWidth="1"/>
    <col min="20" max="20" width="12.85546875" style="1" bestFit="1" customWidth="1"/>
    <col min="21" max="21" width="14" style="1" bestFit="1" customWidth="1"/>
    <col min="22" max="22" width="8.7109375" style="1" customWidth="1"/>
    <col min="23" max="24" width="8.7109375" style="1"/>
    <col min="25" max="25" width="10.85546875" style="1" bestFit="1" customWidth="1"/>
    <col min="26" max="27" width="14" style="1" bestFit="1" customWidth="1"/>
    <col min="28" max="28" width="15" style="1" bestFit="1" customWidth="1"/>
    <col min="29" max="29" width="17.7109375" style="1" bestFit="1" customWidth="1"/>
    <col min="30" max="30" width="14" style="1" bestFit="1" customWidth="1"/>
    <col min="31" max="31" width="8" style="1" bestFit="1" customWidth="1"/>
    <col min="32" max="32" width="12.85546875" style="1" bestFit="1" customWidth="1"/>
    <col min="33" max="33" width="14" style="1" bestFit="1" customWidth="1"/>
    <col min="34" max="36" width="8.7109375" style="1"/>
    <col min="37" max="37" width="10.85546875" style="1" bestFit="1" customWidth="1"/>
    <col min="38" max="39" width="14" style="1" bestFit="1" customWidth="1"/>
    <col min="40" max="40" width="15" style="1" bestFit="1" customWidth="1"/>
    <col min="41" max="41" width="17.7109375" style="1" bestFit="1" customWidth="1"/>
    <col min="42" max="42" width="14" style="1" bestFit="1" customWidth="1"/>
    <col min="43" max="43" width="8" style="1" bestFit="1" customWidth="1"/>
    <col min="44" max="44" width="12.85546875" style="1" bestFit="1" customWidth="1"/>
    <col min="45" max="45" width="14" style="1" bestFit="1" customWidth="1"/>
    <col min="46" max="46" width="10.42578125" style="1" customWidth="1"/>
    <col min="47" max="16384" width="8.7109375" style="1"/>
  </cols>
  <sheetData>
    <row r="1" spans="1:46" ht="15" x14ac:dyDescent="0.25">
      <c r="A1" s="257" t="s">
        <v>178</v>
      </c>
      <c r="B1" s="257"/>
      <c r="C1" s="257"/>
      <c r="D1" s="257"/>
      <c r="E1" s="257"/>
      <c r="F1" s="257"/>
      <c r="G1" s="257"/>
      <c r="H1" s="257"/>
      <c r="I1" s="37" t="s">
        <v>179</v>
      </c>
      <c r="J1" s="37" t="s">
        <v>179</v>
      </c>
      <c r="K1" s="37" t="s">
        <v>179</v>
      </c>
      <c r="L1" s="37" t="s">
        <v>179</v>
      </c>
      <c r="M1" s="37" t="s">
        <v>179</v>
      </c>
      <c r="N1" s="37" t="s">
        <v>179</v>
      </c>
      <c r="O1" s="37" t="s">
        <v>179</v>
      </c>
      <c r="P1" s="37" t="s">
        <v>179</v>
      </c>
      <c r="Q1" s="37" t="s">
        <v>179</v>
      </c>
      <c r="R1" s="37" t="s">
        <v>179</v>
      </c>
    </row>
    <row r="2" spans="1:46" s="39" customFormat="1" ht="30" x14ac:dyDescent="0.25">
      <c r="A2" s="38" t="s">
        <v>178</v>
      </c>
      <c r="B2" s="38" t="s">
        <v>180</v>
      </c>
      <c r="C2" s="38"/>
      <c r="D2" s="38"/>
      <c r="E2" s="38" t="s">
        <v>179</v>
      </c>
      <c r="F2" s="38" t="s">
        <v>179</v>
      </c>
      <c r="G2" s="38" t="s">
        <v>179</v>
      </c>
      <c r="H2" s="38" t="s">
        <v>179</v>
      </c>
      <c r="I2" s="38" t="s">
        <v>179</v>
      </c>
      <c r="J2" s="38" t="s">
        <v>179</v>
      </c>
      <c r="K2" s="38" t="s">
        <v>179</v>
      </c>
      <c r="L2" s="38" t="s">
        <v>179</v>
      </c>
      <c r="M2" s="38" t="s">
        <v>179</v>
      </c>
      <c r="N2" s="38" t="s">
        <v>179</v>
      </c>
      <c r="O2" s="38" t="s">
        <v>179</v>
      </c>
      <c r="P2" s="38" t="s">
        <v>179</v>
      </c>
      <c r="Q2" s="38" t="s">
        <v>179</v>
      </c>
      <c r="R2" s="38" t="s">
        <v>179</v>
      </c>
    </row>
    <row r="3" spans="1:46" ht="15" x14ac:dyDescent="0.25">
      <c r="A3" s="37" t="s">
        <v>181</v>
      </c>
      <c r="B3" s="40">
        <v>450</v>
      </c>
      <c r="C3" s="37" t="s">
        <v>179</v>
      </c>
      <c r="D3" s="41">
        <v>0.15</v>
      </c>
      <c r="E3" s="37" t="s">
        <v>179</v>
      </c>
      <c r="F3" s="41">
        <v>0.15</v>
      </c>
      <c r="G3" s="37" t="s">
        <v>179</v>
      </c>
      <c r="H3" s="37" t="s">
        <v>179</v>
      </c>
      <c r="I3" s="37" t="s">
        <v>179</v>
      </c>
      <c r="J3" s="37" t="s">
        <v>179</v>
      </c>
      <c r="K3" s="37" t="s">
        <v>179</v>
      </c>
      <c r="L3" s="37" t="s">
        <v>179</v>
      </c>
      <c r="M3" s="37" t="s">
        <v>179</v>
      </c>
      <c r="N3" s="37" t="s">
        <v>179</v>
      </c>
      <c r="O3" s="37" t="s">
        <v>179</v>
      </c>
      <c r="P3" s="37" t="s">
        <v>179</v>
      </c>
      <c r="Q3" s="37" t="s">
        <v>179</v>
      </c>
      <c r="R3" s="37" t="s">
        <v>179</v>
      </c>
    </row>
    <row r="4" spans="1:46" ht="15" x14ac:dyDescent="0.25">
      <c r="A4" s="37" t="s">
        <v>182</v>
      </c>
      <c r="B4" s="40">
        <v>850</v>
      </c>
      <c r="C4" s="37" t="s">
        <v>179</v>
      </c>
      <c r="D4" s="41">
        <v>0.75</v>
      </c>
      <c r="E4" s="37" t="s">
        <v>179</v>
      </c>
      <c r="F4" s="41">
        <v>0.75</v>
      </c>
      <c r="G4" s="37" t="s">
        <v>179</v>
      </c>
      <c r="H4" s="37" t="s">
        <v>179</v>
      </c>
      <c r="I4" s="37" t="s">
        <v>179</v>
      </c>
      <c r="J4" s="37" t="s">
        <v>179</v>
      </c>
      <c r="K4" s="37" t="s">
        <v>179</v>
      </c>
      <c r="L4" s="37" t="s">
        <v>179</v>
      </c>
      <c r="M4" s="37" t="s">
        <v>179</v>
      </c>
      <c r="N4" s="37" t="s">
        <v>179</v>
      </c>
      <c r="O4" s="37" t="s">
        <v>179</v>
      </c>
      <c r="P4" s="37" t="s">
        <v>179</v>
      </c>
      <c r="Q4" s="37" t="s">
        <v>179</v>
      </c>
      <c r="R4" s="37" t="s">
        <v>179</v>
      </c>
    </row>
    <row r="5" spans="1:46" ht="15" x14ac:dyDescent="0.25">
      <c r="A5" s="37" t="s">
        <v>183</v>
      </c>
      <c r="B5" s="40">
        <v>900</v>
      </c>
      <c r="C5" s="37" t="s">
        <v>179</v>
      </c>
      <c r="D5" s="41">
        <v>0.1</v>
      </c>
      <c r="E5" s="37" t="s">
        <v>179</v>
      </c>
      <c r="F5" s="41">
        <v>0.1</v>
      </c>
      <c r="G5" s="37" t="s">
        <v>179</v>
      </c>
      <c r="H5" s="37" t="s">
        <v>179</v>
      </c>
      <c r="I5" s="37" t="s">
        <v>179</v>
      </c>
      <c r="J5" s="37" t="s">
        <v>179</v>
      </c>
      <c r="K5" s="37" t="s">
        <v>179</v>
      </c>
      <c r="L5" s="37" t="s">
        <v>179</v>
      </c>
      <c r="M5" s="37" t="s">
        <v>179</v>
      </c>
      <c r="N5" s="37" t="s">
        <v>179</v>
      </c>
      <c r="O5" s="37" t="s">
        <v>179</v>
      </c>
      <c r="P5" s="37" t="s">
        <v>179</v>
      </c>
      <c r="Q5" s="37" t="s">
        <v>179</v>
      </c>
      <c r="R5" s="37" t="s">
        <v>179</v>
      </c>
    </row>
    <row r="6" spans="1:46" ht="15" x14ac:dyDescent="0.25">
      <c r="A6" s="37"/>
      <c r="B6" s="40"/>
      <c r="C6" s="37"/>
      <c r="D6" s="41"/>
      <c r="E6" s="37"/>
      <c r="F6" s="41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T6" s="136" t="s">
        <v>245</v>
      </c>
      <c r="AF6" s="136" t="s">
        <v>245</v>
      </c>
      <c r="AR6" s="136" t="s">
        <v>245</v>
      </c>
    </row>
    <row r="7" spans="1:46" ht="15.75" thickBot="1" x14ac:dyDescent="0.3">
      <c r="A7" s="37"/>
      <c r="B7" s="40"/>
      <c r="C7" s="37"/>
      <c r="D7" s="41"/>
      <c r="E7" s="37"/>
      <c r="F7" s="41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T7" s="83">
        <v>0.91</v>
      </c>
      <c r="AF7" s="83">
        <v>1.0900000000000001</v>
      </c>
      <c r="AR7" s="83">
        <v>0.97</v>
      </c>
    </row>
    <row r="8" spans="1:46" ht="18.75" x14ac:dyDescent="0.3">
      <c r="A8" s="259" t="s">
        <v>233</v>
      </c>
      <c r="B8" s="260"/>
      <c r="C8" s="260"/>
      <c r="D8" s="260"/>
      <c r="E8" s="260"/>
      <c r="F8" s="260"/>
      <c r="G8" s="260"/>
      <c r="H8" s="260"/>
      <c r="I8" s="150"/>
      <c r="J8" s="151"/>
      <c r="K8" s="37"/>
      <c r="L8" s="37"/>
      <c r="M8" s="259" t="str">
        <f>"-9% Unit Sales"</f>
        <v>-9% Unit Sales</v>
      </c>
      <c r="N8" s="260"/>
      <c r="O8" s="260"/>
      <c r="P8" s="260"/>
      <c r="Q8" s="260"/>
      <c r="R8" s="260"/>
      <c r="S8" s="260"/>
      <c r="T8" s="260"/>
      <c r="U8" s="150"/>
      <c r="V8" s="151"/>
      <c r="Y8" s="259" t="str">
        <f>"+9% Unit Sales"</f>
        <v>+9% Unit Sales</v>
      </c>
      <c r="Z8" s="260"/>
      <c r="AA8" s="260"/>
      <c r="AB8" s="260"/>
      <c r="AC8" s="260"/>
      <c r="AD8" s="260"/>
      <c r="AE8" s="260"/>
      <c r="AF8" s="260"/>
      <c r="AG8" s="150"/>
      <c r="AH8" s="151"/>
      <c r="AK8" s="259" t="str">
        <f>"-3% Price"</f>
        <v>-3% Price</v>
      </c>
      <c r="AL8" s="260"/>
      <c r="AM8" s="260"/>
      <c r="AN8" s="260"/>
      <c r="AO8" s="260"/>
      <c r="AP8" s="260"/>
      <c r="AQ8" s="260"/>
      <c r="AR8" s="260"/>
      <c r="AS8" s="150"/>
      <c r="AT8" s="151"/>
    </row>
    <row r="9" spans="1:46" ht="15.75" thickBot="1" x14ac:dyDescent="0.3">
      <c r="A9" s="152" t="s">
        <v>179</v>
      </c>
      <c r="B9" s="37" t="s">
        <v>179</v>
      </c>
      <c r="C9" s="37" t="s">
        <v>179</v>
      </c>
      <c r="D9" s="37" t="s">
        <v>179</v>
      </c>
      <c r="E9" s="37" t="s">
        <v>179</v>
      </c>
      <c r="F9" s="37" t="s">
        <v>179</v>
      </c>
      <c r="G9" s="37" t="s">
        <v>179</v>
      </c>
      <c r="H9" s="37" t="s">
        <v>179</v>
      </c>
      <c r="I9" s="37" t="s">
        <v>179</v>
      </c>
      <c r="J9" s="153" t="s">
        <v>179</v>
      </c>
      <c r="K9" s="37" t="s">
        <v>179</v>
      </c>
      <c r="L9" s="37" t="s">
        <v>179</v>
      </c>
      <c r="M9" s="152" t="s">
        <v>179</v>
      </c>
      <c r="N9" s="37" t="s">
        <v>179</v>
      </c>
      <c r="O9" s="37" t="s">
        <v>179</v>
      </c>
      <c r="P9" s="37" t="s">
        <v>179</v>
      </c>
      <c r="Q9" s="37" t="s">
        <v>179</v>
      </c>
      <c r="R9" s="37" t="s">
        <v>179</v>
      </c>
      <c r="S9" s="37" t="s">
        <v>179</v>
      </c>
      <c r="T9" s="37" t="s">
        <v>179</v>
      </c>
      <c r="U9" s="37" t="s">
        <v>179</v>
      </c>
      <c r="V9" s="153" t="s">
        <v>179</v>
      </c>
      <c r="Y9" s="152" t="s">
        <v>179</v>
      </c>
      <c r="Z9" s="37" t="s">
        <v>179</v>
      </c>
      <c r="AA9" s="37" t="s">
        <v>179</v>
      </c>
      <c r="AB9" s="37" t="s">
        <v>179</v>
      </c>
      <c r="AC9" s="37" t="s">
        <v>179</v>
      </c>
      <c r="AD9" s="37" t="s">
        <v>179</v>
      </c>
      <c r="AE9" s="37" t="s">
        <v>179</v>
      </c>
      <c r="AF9" s="37" t="s">
        <v>179</v>
      </c>
      <c r="AG9" s="37" t="s">
        <v>179</v>
      </c>
      <c r="AH9" s="153" t="s">
        <v>179</v>
      </c>
      <c r="AK9" s="152" t="s">
        <v>179</v>
      </c>
      <c r="AL9" s="37" t="s">
        <v>179</v>
      </c>
      <c r="AM9" s="37" t="s">
        <v>179</v>
      </c>
      <c r="AN9" s="37" t="s">
        <v>179</v>
      </c>
      <c r="AO9" s="37" t="s">
        <v>179</v>
      </c>
      <c r="AP9" s="37" t="s">
        <v>179</v>
      </c>
      <c r="AQ9" s="37" t="s">
        <v>179</v>
      </c>
      <c r="AR9" s="37" t="s">
        <v>179</v>
      </c>
      <c r="AS9" s="37" t="s">
        <v>179</v>
      </c>
      <c r="AT9" s="153" t="s">
        <v>179</v>
      </c>
    </row>
    <row r="10" spans="1:46" ht="15" x14ac:dyDescent="0.25">
      <c r="A10" s="254" t="s">
        <v>184</v>
      </c>
      <c r="B10" s="255"/>
      <c r="C10" s="255"/>
      <c r="D10" s="255"/>
      <c r="E10" s="255"/>
      <c r="F10" s="255"/>
      <c r="G10" s="255"/>
      <c r="H10" s="256"/>
      <c r="I10" s="37" t="s">
        <v>179</v>
      </c>
      <c r="J10" s="153" t="s">
        <v>179</v>
      </c>
      <c r="K10" s="37" t="s">
        <v>179</v>
      </c>
      <c r="L10" s="37" t="s">
        <v>179</v>
      </c>
      <c r="M10" s="254" t="s">
        <v>184</v>
      </c>
      <c r="N10" s="255"/>
      <c r="O10" s="255"/>
      <c r="P10" s="255"/>
      <c r="Q10" s="255"/>
      <c r="R10" s="255"/>
      <c r="S10" s="255"/>
      <c r="T10" s="256"/>
      <c r="U10" s="37" t="s">
        <v>179</v>
      </c>
      <c r="V10" s="153" t="s">
        <v>179</v>
      </c>
      <c r="Y10" s="254" t="s">
        <v>184</v>
      </c>
      <c r="Z10" s="255"/>
      <c r="AA10" s="255"/>
      <c r="AB10" s="255"/>
      <c r="AC10" s="255"/>
      <c r="AD10" s="255"/>
      <c r="AE10" s="255"/>
      <c r="AF10" s="256"/>
      <c r="AG10" s="37" t="s">
        <v>179</v>
      </c>
      <c r="AH10" s="153" t="s">
        <v>179</v>
      </c>
      <c r="AK10" s="254" t="s">
        <v>184</v>
      </c>
      <c r="AL10" s="255"/>
      <c r="AM10" s="255"/>
      <c r="AN10" s="255"/>
      <c r="AO10" s="255"/>
      <c r="AP10" s="255"/>
      <c r="AQ10" s="255"/>
      <c r="AR10" s="256"/>
      <c r="AS10" s="37" t="s">
        <v>179</v>
      </c>
      <c r="AT10" s="153" t="s">
        <v>179</v>
      </c>
    </row>
    <row r="11" spans="1:46" ht="60" x14ac:dyDescent="0.25">
      <c r="A11" s="42" t="s">
        <v>185</v>
      </c>
      <c r="B11" s="43" t="s">
        <v>243</v>
      </c>
      <c r="C11" s="43" t="s">
        <v>179</v>
      </c>
      <c r="D11" s="43" t="s">
        <v>186</v>
      </c>
      <c r="E11" s="43" t="s">
        <v>179</v>
      </c>
      <c r="F11" s="43" t="s">
        <v>187</v>
      </c>
      <c r="G11" s="43" t="s">
        <v>188</v>
      </c>
      <c r="H11" s="44" t="s">
        <v>189</v>
      </c>
      <c r="I11" s="38" t="s">
        <v>179</v>
      </c>
      <c r="J11" s="154" t="s">
        <v>179</v>
      </c>
      <c r="K11" s="38" t="s">
        <v>179</v>
      </c>
      <c r="L11" s="38" t="s">
        <v>179</v>
      </c>
      <c r="M11" s="42" t="s">
        <v>185</v>
      </c>
      <c r="N11" s="43" t="s">
        <v>243</v>
      </c>
      <c r="O11" s="43" t="s">
        <v>179</v>
      </c>
      <c r="P11" s="43" t="s">
        <v>186</v>
      </c>
      <c r="Q11" s="43" t="s">
        <v>179</v>
      </c>
      <c r="R11" s="43" t="s">
        <v>187</v>
      </c>
      <c r="S11" s="43" t="s">
        <v>188</v>
      </c>
      <c r="T11" s="44" t="s">
        <v>189</v>
      </c>
      <c r="U11" s="38" t="s">
        <v>179</v>
      </c>
      <c r="V11" s="154" t="s">
        <v>179</v>
      </c>
      <c r="Y11" s="42" t="s">
        <v>185</v>
      </c>
      <c r="Z11" s="43" t="s">
        <v>243</v>
      </c>
      <c r="AA11" s="43" t="s">
        <v>179</v>
      </c>
      <c r="AB11" s="43" t="s">
        <v>186</v>
      </c>
      <c r="AC11" s="43" t="s">
        <v>179</v>
      </c>
      <c r="AD11" s="43" t="s">
        <v>187</v>
      </c>
      <c r="AE11" s="43" t="s">
        <v>188</v>
      </c>
      <c r="AF11" s="44" t="s">
        <v>189</v>
      </c>
      <c r="AG11" s="38" t="s">
        <v>179</v>
      </c>
      <c r="AH11" s="154" t="s">
        <v>179</v>
      </c>
      <c r="AK11" s="42" t="s">
        <v>185</v>
      </c>
      <c r="AL11" s="43" t="s">
        <v>243</v>
      </c>
      <c r="AM11" s="43" t="s">
        <v>179</v>
      </c>
      <c r="AN11" s="43" t="s">
        <v>186</v>
      </c>
      <c r="AO11" s="43" t="s">
        <v>179</v>
      </c>
      <c r="AP11" s="43" t="s">
        <v>187</v>
      </c>
      <c r="AQ11" s="43" t="s">
        <v>188</v>
      </c>
      <c r="AR11" s="44" t="s">
        <v>189</v>
      </c>
      <c r="AS11" s="38" t="s">
        <v>179</v>
      </c>
      <c r="AT11" s="154" t="s">
        <v>179</v>
      </c>
    </row>
    <row r="12" spans="1:46" ht="15" x14ac:dyDescent="0.25">
      <c r="A12" s="45" t="s">
        <v>102</v>
      </c>
      <c r="B12" s="46">
        <v>2780</v>
      </c>
      <c r="C12" s="46" t="s">
        <v>148</v>
      </c>
      <c r="D12" s="47">
        <v>0.15</v>
      </c>
      <c r="E12" s="48" t="s">
        <v>190</v>
      </c>
      <c r="F12" s="140">
        <f>B12*D12</f>
        <v>417</v>
      </c>
      <c r="G12" s="49">
        <v>450</v>
      </c>
      <c r="H12" s="50">
        <f>F12*G12</f>
        <v>187650</v>
      </c>
      <c r="I12" s="40">
        <f>H12*12</f>
        <v>2251800</v>
      </c>
      <c r="J12" s="153" t="s">
        <v>179</v>
      </c>
      <c r="K12" s="51"/>
      <c r="L12" s="51"/>
      <c r="M12" s="45" t="s">
        <v>102</v>
      </c>
      <c r="N12" s="140">
        <f>B12*$T$7</f>
        <v>2529.8000000000002</v>
      </c>
      <c r="O12" s="46" t="s">
        <v>148</v>
      </c>
      <c r="P12" s="47">
        <v>0.15</v>
      </c>
      <c r="Q12" s="48" t="s">
        <v>190</v>
      </c>
      <c r="R12" s="140">
        <f>N12*P12</f>
        <v>379.47</v>
      </c>
      <c r="S12" s="49">
        <v>450</v>
      </c>
      <c r="T12" s="50">
        <f>R12*S12</f>
        <v>170761.5</v>
      </c>
      <c r="U12" s="40">
        <f>T12*12</f>
        <v>2049138</v>
      </c>
      <c r="V12" s="153" t="s">
        <v>179</v>
      </c>
      <c r="Y12" s="45" t="s">
        <v>102</v>
      </c>
      <c r="Z12" s="140">
        <f>B12*$AF$7</f>
        <v>3030.2000000000003</v>
      </c>
      <c r="AA12" s="46" t="s">
        <v>148</v>
      </c>
      <c r="AB12" s="47">
        <v>0.15</v>
      </c>
      <c r="AC12" s="48" t="s">
        <v>190</v>
      </c>
      <c r="AD12" s="140">
        <f>Z12*AB12</f>
        <v>454.53000000000003</v>
      </c>
      <c r="AE12" s="49">
        <v>450</v>
      </c>
      <c r="AF12" s="50">
        <f>AD12*AE12</f>
        <v>204538.5</v>
      </c>
      <c r="AG12" s="40">
        <f>AF12*12</f>
        <v>2454462</v>
      </c>
      <c r="AH12" s="153" t="s">
        <v>179</v>
      </c>
      <c r="AK12" s="45" t="s">
        <v>102</v>
      </c>
      <c r="AL12" s="140">
        <f>B12</f>
        <v>2780</v>
      </c>
      <c r="AM12" s="46" t="s">
        <v>148</v>
      </c>
      <c r="AN12" s="47">
        <v>0.15</v>
      </c>
      <c r="AO12" s="48" t="s">
        <v>190</v>
      </c>
      <c r="AP12" s="140">
        <f>AL12*AN12</f>
        <v>417</v>
      </c>
      <c r="AQ12" s="49">
        <f>450*$AR$7</f>
        <v>436.5</v>
      </c>
      <c r="AR12" s="50">
        <f>AP12*AQ12</f>
        <v>182020.5</v>
      </c>
      <c r="AS12" s="40">
        <f>AR12*12</f>
        <v>2184246</v>
      </c>
      <c r="AT12" s="153" t="s">
        <v>179</v>
      </c>
    </row>
    <row r="13" spans="1:46" ht="15" x14ac:dyDescent="0.25">
      <c r="A13" s="45" t="s">
        <v>103</v>
      </c>
      <c r="B13" s="46">
        <v>4170</v>
      </c>
      <c r="C13" s="46" t="s">
        <v>148</v>
      </c>
      <c r="D13" s="47">
        <v>0.15</v>
      </c>
      <c r="E13" s="48" t="s">
        <v>190</v>
      </c>
      <c r="F13" s="140">
        <f t="shared" ref="F13:F16" si="0">B13*D13</f>
        <v>625.5</v>
      </c>
      <c r="G13" s="49">
        <v>450</v>
      </c>
      <c r="H13" s="50">
        <f t="shared" ref="H13:H16" si="1">F13*G13</f>
        <v>281475</v>
      </c>
      <c r="I13" s="40">
        <f t="shared" ref="I13:I16" si="2">H13*12</f>
        <v>3377700</v>
      </c>
      <c r="J13" s="153" t="s">
        <v>179</v>
      </c>
      <c r="K13" s="52"/>
      <c r="L13" s="40"/>
      <c r="M13" s="45" t="s">
        <v>103</v>
      </c>
      <c r="N13" s="140">
        <f t="shared" ref="N13:N16" si="3">B13*$T$7</f>
        <v>3794.7000000000003</v>
      </c>
      <c r="O13" s="46" t="s">
        <v>148</v>
      </c>
      <c r="P13" s="47">
        <v>0.15</v>
      </c>
      <c r="Q13" s="48" t="s">
        <v>190</v>
      </c>
      <c r="R13" s="140">
        <f t="shared" ref="R13:R16" si="4">N13*P13</f>
        <v>569.20500000000004</v>
      </c>
      <c r="S13" s="49">
        <v>450</v>
      </c>
      <c r="T13" s="50">
        <f t="shared" ref="T13:T16" si="5">R13*S13</f>
        <v>256142.25000000003</v>
      </c>
      <c r="U13" s="40">
        <f t="shared" ref="U13:U16" si="6">T13*12</f>
        <v>3073707.0000000005</v>
      </c>
      <c r="V13" s="153" t="s">
        <v>179</v>
      </c>
      <c r="Y13" s="45" t="s">
        <v>103</v>
      </c>
      <c r="Z13" s="140">
        <f t="shared" ref="Z13:Z16" si="7">B13*$AF$7</f>
        <v>4545.3</v>
      </c>
      <c r="AA13" s="46" t="s">
        <v>148</v>
      </c>
      <c r="AB13" s="47">
        <v>0.15</v>
      </c>
      <c r="AC13" s="48" t="s">
        <v>190</v>
      </c>
      <c r="AD13" s="140">
        <f t="shared" ref="AD13:AD16" si="8">Z13*AB13</f>
        <v>681.79499999999996</v>
      </c>
      <c r="AE13" s="49">
        <v>450</v>
      </c>
      <c r="AF13" s="50">
        <f t="shared" ref="AF13:AF16" si="9">AD13*AE13</f>
        <v>306807.75</v>
      </c>
      <c r="AG13" s="40">
        <f t="shared" ref="AG13:AG16" si="10">AF13*12</f>
        <v>3681693</v>
      </c>
      <c r="AH13" s="153" t="s">
        <v>179</v>
      </c>
      <c r="AK13" s="45" t="s">
        <v>103</v>
      </c>
      <c r="AL13" s="140">
        <f t="shared" ref="AL13:AL16" si="11">B13</f>
        <v>4170</v>
      </c>
      <c r="AM13" s="46" t="s">
        <v>148</v>
      </c>
      <c r="AN13" s="47">
        <v>0.15</v>
      </c>
      <c r="AO13" s="48" t="s">
        <v>190</v>
      </c>
      <c r="AP13" s="140">
        <f t="shared" ref="AP13:AP16" si="12">AL13*AN13</f>
        <v>625.5</v>
      </c>
      <c r="AQ13" s="49">
        <f t="shared" ref="AQ13:AQ16" si="13">450*$AR$7</f>
        <v>436.5</v>
      </c>
      <c r="AR13" s="50">
        <f t="shared" ref="AR13:AR16" si="14">AP13*AQ13</f>
        <v>273030.75</v>
      </c>
      <c r="AS13" s="40">
        <f t="shared" ref="AS13:AS16" si="15">AR13*12</f>
        <v>3276369</v>
      </c>
      <c r="AT13" s="153" t="s">
        <v>179</v>
      </c>
    </row>
    <row r="14" spans="1:46" ht="15" x14ac:dyDescent="0.25">
      <c r="A14" s="45" t="s">
        <v>104</v>
      </c>
      <c r="B14" s="46">
        <v>5560</v>
      </c>
      <c r="C14" s="46" t="s">
        <v>148</v>
      </c>
      <c r="D14" s="47">
        <v>0.15</v>
      </c>
      <c r="E14" s="48" t="s">
        <v>190</v>
      </c>
      <c r="F14" s="140">
        <f t="shared" si="0"/>
        <v>834</v>
      </c>
      <c r="G14" s="49">
        <v>450</v>
      </c>
      <c r="H14" s="50">
        <f t="shared" si="1"/>
        <v>375300</v>
      </c>
      <c r="I14" s="40">
        <f t="shared" si="2"/>
        <v>4503600</v>
      </c>
      <c r="J14" s="153" t="s">
        <v>179</v>
      </c>
      <c r="K14" s="52"/>
      <c r="L14" s="40"/>
      <c r="M14" s="45" t="s">
        <v>104</v>
      </c>
      <c r="N14" s="140">
        <f t="shared" si="3"/>
        <v>5059.6000000000004</v>
      </c>
      <c r="O14" s="46" t="s">
        <v>148</v>
      </c>
      <c r="P14" s="47">
        <v>0.15</v>
      </c>
      <c r="Q14" s="48" t="s">
        <v>190</v>
      </c>
      <c r="R14" s="140">
        <f t="shared" si="4"/>
        <v>758.94</v>
      </c>
      <c r="S14" s="49">
        <v>450</v>
      </c>
      <c r="T14" s="50">
        <f t="shared" si="5"/>
        <v>341523</v>
      </c>
      <c r="U14" s="40">
        <f t="shared" si="6"/>
        <v>4098276</v>
      </c>
      <c r="V14" s="153" t="s">
        <v>179</v>
      </c>
      <c r="Y14" s="45" t="s">
        <v>104</v>
      </c>
      <c r="Z14" s="140">
        <f t="shared" si="7"/>
        <v>6060.4000000000005</v>
      </c>
      <c r="AA14" s="46" t="s">
        <v>148</v>
      </c>
      <c r="AB14" s="47">
        <v>0.15</v>
      </c>
      <c r="AC14" s="48" t="s">
        <v>190</v>
      </c>
      <c r="AD14" s="140">
        <f t="shared" si="8"/>
        <v>909.06000000000006</v>
      </c>
      <c r="AE14" s="49">
        <v>450</v>
      </c>
      <c r="AF14" s="50">
        <f t="shared" si="9"/>
        <v>409077</v>
      </c>
      <c r="AG14" s="40">
        <f t="shared" si="10"/>
        <v>4908924</v>
      </c>
      <c r="AH14" s="153" t="s">
        <v>179</v>
      </c>
      <c r="AK14" s="45" t="s">
        <v>104</v>
      </c>
      <c r="AL14" s="140">
        <f t="shared" si="11"/>
        <v>5560</v>
      </c>
      <c r="AM14" s="46" t="s">
        <v>148</v>
      </c>
      <c r="AN14" s="47">
        <v>0.15</v>
      </c>
      <c r="AO14" s="48" t="s">
        <v>190</v>
      </c>
      <c r="AP14" s="140">
        <f t="shared" si="12"/>
        <v>834</v>
      </c>
      <c r="AQ14" s="49">
        <f t="shared" si="13"/>
        <v>436.5</v>
      </c>
      <c r="AR14" s="50">
        <f t="shared" si="14"/>
        <v>364041</v>
      </c>
      <c r="AS14" s="40">
        <f t="shared" si="15"/>
        <v>4368492</v>
      </c>
      <c r="AT14" s="153" t="s">
        <v>179</v>
      </c>
    </row>
    <row r="15" spans="1:46" ht="15" x14ac:dyDescent="0.25">
      <c r="A15" s="45" t="s">
        <v>105</v>
      </c>
      <c r="B15" s="46">
        <v>5560</v>
      </c>
      <c r="C15" s="46" t="s">
        <v>148</v>
      </c>
      <c r="D15" s="47">
        <v>0.15</v>
      </c>
      <c r="E15" s="48" t="s">
        <v>190</v>
      </c>
      <c r="F15" s="140">
        <f t="shared" si="0"/>
        <v>834</v>
      </c>
      <c r="G15" s="49">
        <v>450</v>
      </c>
      <c r="H15" s="50">
        <f t="shared" si="1"/>
        <v>375300</v>
      </c>
      <c r="I15" s="40">
        <f t="shared" si="2"/>
        <v>4503600</v>
      </c>
      <c r="J15" s="153" t="s">
        <v>179</v>
      </c>
      <c r="K15" s="52"/>
      <c r="L15" s="40"/>
      <c r="M15" s="45" t="s">
        <v>105</v>
      </c>
      <c r="N15" s="140">
        <f t="shared" si="3"/>
        <v>5059.6000000000004</v>
      </c>
      <c r="O15" s="46" t="s">
        <v>148</v>
      </c>
      <c r="P15" s="47">
        <v>0.15</v>
      </c>
      <c r="Q15" s="48" t="s">
        <v>190</v>
      </c>
      <c r="R15" s="140">
        <f t="shared" si="4"/>
        <v>758.94</v>
      </c>
      <c r="S15" s="49">
        <v>450</v>
      </c>
      <c r="T15" s="50">
        <f t="shared" si="5"/>
        <v>341523</v>
      </c>
      <c r="U15" s="40">
        <f t="shared" si="6"/>
        <v>4098276</v>
      </c>
      <c r="V15" s="153" t="s">
        <v>179</v>
      </c>
      <c r="Y15" s="45" t="s">
        <v>105</v>
      </c>
      <c r="Z15" s="140">
        <f t="shared" si="7"/>
        <v>6060.4000000000005</v>
      </c>
      <c r="AA15" s="46" t="s">
        <v>148</v>
      </c>
      <c r="AB15" s="47">
        <v>0.15</v>
      </c>
      <c r="AC15" s="48" t="s">
        <v>190</v>
      </c>
      <c r="AD15" s="140">
        <f t="shared" si="8"/>
        <v>909.06000000000006</v>
      </c>
      <c r="AE15" s="49">
        <v>450</v>
      </c>
      <c r="AF15" s="50">
        <f t="shared" si="9"/>
        <v>409077</v>
      </c>
      <c r="AG15" s="40">
        <f t="shared" si="10"/>
        <v>4908924</v>
      </c>
      <c r="AH15" s="153" t="s">
        <v>179</v>
      </c>
      <c r="AK15" s="45" t="s">
        <v>105</v>
      </c>
      <c r="AL15" s="140">
        <f t="shared" si="11"/>
        <v>5560</v>
      </c>
      <c r="AM15" s="46" t="s">
        <v>148</v>
      </c>
      <c r="AN15" s="47">
        <v>0.15</v>
      </c>
      <c r="AO15" s="48" t="s">
        <v>190</v>
      </c>
      <c r="AP15" s="140">
        <f t="shared" si="12"/>
        <v>834</v>
      </c>
      <c r="AQ15" s="49">
        <f t="shared" si="13"/>
        <v>436.5</v>
      </c>
      <c r="AR15" s="50">
        <f t="shared" si="14"/>
        <v>364041</v>
      </c>
      <c r="AS15" s="40">
        <f t="shared" si="15"/>
        <v>4368492</v>
      </c>
      <c r="AT15" s="153" t="s">
        <v>179</v>
      </c>
    </row>
    <row r="16" spans="1:46" ht="15.75" thickBot="1" x14ac:dyDescent="0.3">
      <c r="A16" s="53" t="s">
        <v>106</v>
      </c>
      <c r="B16" s="54">
        <v>5560</v>
      </c>
      <c r="C16" s="54" t="s">
        <v>148</v>
      </c>
      <c r="D16" s="55">
        <v>0.15</v>
      </c>
      <c r="E16" s="56" t="s">
        <v>190</v>
      </c>
      <c r="F16" s="141">
        <f t="shared" si="0"/>
        <v>834</v>
      </c>
      <c r="G16" s="142">
        <v>450</v>
      </c>
      <c r="H16" s="143">
        <f t="shared" si="1"/>
        <v>375300</v>
      </c>
      <c r="I16" s="40">
        <f t="shared" si="2"/>
        <v>4503600</v>
      </c>
      <c r="J16" s="153" t="s">
        <v>179</v>
      </c>
      <c r="K16" s="52"/>
      <c r="L16" s="40"/>
      <c r="M16" s="53" t="s">
        <v>106</v>
      </c>
      <c r="N16" s="141">
        <f t="shared" si="3"/>
        <v>5059.6000000000004</v>
      </c>
      <c r="O16" s="54" t="s">
        <v>148</v>
      </c>
      <c r="P16" s="55">
        <v>0.15</v>
      </c>
      <c r="Q16" s="56" t="s">
        <v>190</v>
      </c>
      <c r="R16" s="141">
        <f t="shared" si="4"/>
        <v>758.94</v>
      </c>
      <c r="S16" s="142">
        <v>450</v>
      </c>
      <c r="T16" s="143">
        <f t="shared" si="5"/>
        <v>341523</v>
      </c>
      <c r="U16" s="40">
        <f t="shared" si="6"/>
        <v>4098276</v>
      </c>
      <c r="V16" s="153" t="s">
        <v>179</v>
      </c>
      <c r="Y16" s="53" t="s">
        <v>106</v>
      </c>
      <c r="Z16" s="141">
        <f t="shared" si="7"/>
        <v>6060.4000000000005</v>
      </c>
      <c r="AA16" s="54" t="s">
        <v>148</v>
      </c>
      <c r="AB16" s="55">
        <v>0.15</v>
      </c>
      <c r="AC16" s="56" t="s">
        <v>190</v>
      </c>
      <c r="AD16" s="141">
        <f t="shared" si="8"/>
        <v>909.06000000000006</v>
      </c>
      <c r="AE16" s="142">
        <v>450</v>
      </c>
      <c r="AF16" s="143">
        <f t="shared" si="9"/>
        <v>409077</v>
      </c>
      <c r="AG16" s="40">
        <f t="shared" si="10"/>
        <v>4908924</v>
      </c>
      <c r="AH16" s="153" t="s">
        <v>179</v>
      </c>
      <c r="AK16" s="53" t="s">
        <v>106</v>
      </c>
      <c r="AL16" s="141">
        <f t="shared" si="11"/>
        <v>5560</v>
      </c>
      <c r="AM16" s="54" t="s">
        <v>148</v>
      </c>
      <c r="AN16" s="55">
        <v>0.15</v>
      </c>
      <c r="AO16" s="56" t="s">
        <v>190</v>
      </c>
      <c r="AP16" s="141">
        <f t="shared" si="12"/>
        <v>834</v>
      </c>
      <c r="AQ16" s="163">
        <f t="shared" si="13"/>
        <v>436.5</v>
      </c>
      <c r="AR16" s="143">
        <f t="shared" si="14"/>
        <v>364041</v>
      </c>
      <c r="AS16" s="40">
        <f t="shared" si="15"/>
        <v>4368492</v>
      </c>
      <c r="AT16" s="153" t="s">
        <v>179</v>
      </c>
    </row>
    <row r="17" spans="1:46" ht="15.75" thickBot="1" x14ac:dyDescent="0.3">
      <c r="A17" s="152" t="s">
        <v>179</v>
      </c>
      <c r="B17" s="37" t="s">
        <v>179</v>
      </c>
      <c r="C17" s="37" t="s">
        <v>179</v>
      </c>
      <c r="D17" s="37" t="s">
        <v>179</v>
      </c>
      <c r="E17" s="37" t="s">
        <v>179</v>
      </c>
      <c r="F17" s="37" t="s">
        <v>179</v>
      </c>
      <c r="G17" s="37" t="s">
        <v>179</v>
      </c>
      <c r="H17" s="37" t="s">
        <v>179</v>
      </c>
      <c r="I17" s="37" t="s">
        <v>179</v>
      </c>
      <c r="J17" s="153" t="s">
        <v>179</v>
      </c>
      <c r="K17" s="52"/>
      <c r="L17" s="40"/>
      <c r="M17" s="152" t="s">
        <v>179</v>
      </c>
      <c r="N17" s="37" t="s">
        <v>179</v>
      </c>
      <c r="O17" s="37" t="s">
        <v>179</v>
      </c>
      <c r="P17" s="37" t="s">
        <v>179</v>
      </c>
      <c r="Q17" s="37" t="s">
        <v>179</v>
      </c>
      <c r="R17" s="37" t="s">
        <v>179</v>
      </c>
      <c r="S17" s="37" t="s">
        <v>179</v>
      </c>
      <c r="T17" s="37" t="s">
        <v>179</v>
      </c>
      <c r="U17" s="37" t="s">
        <v>179</v>
      </c>
      <c r="V17" s="153" t="s">
        <v>179</v>
      </c>
      <c r="Y17" s="152" t="s">
        <v>179</v>
      </c>
      <c r="Z17" s="37" t="s">
        <v>179</v>
      </c>
      <c r="AA17" s="37" t="s">
        <v>179</v>
      </c>
      <c r="AB17" s="37" t="s">
        <v>179</v>
      </c>
      <c r="AC17" s="37" t="s">
        <v>179</v>
      </c>
      <c r="AD17" s="37" t="s">
        <v>179</v>
      </c>
      <c r="AE17" s="37" t="s">
        <v>179</v>
      </c>
      <c r="AF17" s="37" t="s">
        <v>179</v>
      </c>
      <c r="AG17" s="37" t="s">
        <v>179</v>
      </c>
      <c r="AH17" s="153" t="s">
        <v>179</v>
      </c>
      <c r="AK17" s="152" t="s">
        <v>179</v>
      </c>
      <c r="AL17" s="37" t="s">
        <v>179</v>
      </c>
      <c r="AM17" s="37" t="s">
        <v>179</v>
      </c>
      <c r="AN17" s="37" t="s">
        <v>179</v>
      </c>
      <c r="AO17" s="37" t="s">
        <v>179</v>
      </c>
      <c r="AP17" s="37" t="s">
        <v>179</v>
      </c>
      <c r="AQ17" s="37" t="s">
        <v>179</v>
      </c>
      <c r="AR17" s="37" t="s">
        <v>179</v>
      </c>
      <c r="AS17" s="37" t="s">
        <v>179</v>
      </c>
      <c r="AT17" s="153" t="s">
        <v>179</v>
      </c>
    </row>
    <row r="18" spans="1:46" ht="15" x14ac:dyDescent="0.25">
      <c r="A18" s="254" t="s">
        <v>191</v>
      </c>
      <c r="B18" s="255"/>
      <c r="C18" s="255"/>
      <c r="D18" s="255"/>
      <c r="E18" s="255"/>
      <c r="F18" s="255"/>
      <c r="G18" s="255"/>
      <c r="H18" s="256"/>
      <c r="I18" s="37" t="s">
        <v>179</v>
      </c>
      <c r="J18" s="153" t="s">
        <v>179</v>
      </c>
      <c r="K18" s="37" t="s">
        <v>179</v>
      </c>
      <c r="L18" s="37" t="s">
        <v>179</v>
      </c>
      <c r="M18" s="254" t="s">
        <v>191</v>
      </c>
      <c r="N18" s="255"/>
      <c r="O18" s="255"/>
      <c r="P18" s="255"/>
      <c r="Q18" s="255"/>
      <c r="R18" s="255"/>
      <c r="S18" s="255"/>
      <c r="T18" s="256"/>
      <c r="U18" s="37" t="s">
        <v>179</v>
      </c>
      <c r="V18" s="153" t="s">
        <v>179</v>
      </c>
      <c r="Y18" s="254" t="s">
        <v>191</v>
      </c>
      <c r="Z18" s="255"/>
      <c r="AA18" s="255"/>
      <c r="AB18" s="255"/>
      <c r="AC18" s="255"/>
      <c r="AD18" s="255"/>
      <c r="AE18" s="255"/>
      <c r="AF18" s="256"/>
      <c r="AG18" s="37" t="s">
        <v>179</v>
      </c>
      <c r="AH18" s="153" t="s">
        <v>179</v>
      </c>
      <c r="AK18" s="254" t="s">
        <v>191</v>
      </c>
      <c r="AL18" s="255"/>
      <c r="AM18" s="255"/>
      <c r="AN18" s="255"/>
      <c r="AO18" s="255"/>
      <c r="AP18" s="255"/>
      <c r="AQ18" s="255"/>
      <c r="AR18" s="256"/>
      <c r="AS18" s="37" t="s">
        <v>179</v>
      </c>
      <c r="AT18" s="153" t="s">
        <v>179</v>
      </c>
    </row>
    <row r="19" spans="1:46" ht="60" x14ac:dyDescent="0.25">
      <c r="A19" s="42" t="s">
        <v>185</v>
      </c>
      <c r="B19" s="43" t="s">
        <v>243</v>
      </c>
      <c r="C19" s="43" t="s">
        <v>179</v>
      </c>
      <c r="D19" s="43" t="s">
        <v>186</v>
      </c>
      <c r="E19" s="43" t="s">
        <v>179</v>
      </c>
      <c r="F19" s="43" t="s">
        <v>234</v>
      </c>
      <c r="G19" s="43" t="s">
        <v>235</v>
      </c>
      <c r="H19" s="44" t="s">
        <v>236</v>
      </c>
      <c r="I19" s="38" t="s">
        <v>179</v>
      </c>
      <c r="J19" s="154" t="s">
        <v>179</v>
      </c>
      <c r="K19" s="38" t="s">
        <v>179</v>
      </c>
      <c r="L19" s="38" t="s">
        <v>179</v>
      </c>
      <c r="M19" s="42" t="s">
        <v>185</v>
      </c>
      <c r="N19" s="43" t="s">
        <v>243</v>
      </c>
      <c r="O19" s="43" t="s">
        <v>179</v>
      </c>
      <c r="P19" s="43" t="s">
        <v>186</v>
      </c>
      <c r="Q19" s="43" t="s">
        <v>179</v>
      </c>
      <c r="R19" s="43" t="s">
        <v>234</v>
      </c>
      <c r="S19" s="43" t="s">
        <v>235</v>
      </c>
      <c r="T19" s="44" t="s">
        <v>236</v>
      </c>
      <c r="U19" s="38" t="s">
        <v>179</v>
      </c>
      <c r="V19" s="154" t="s">
        <v>179</v>
      </c>
      <c r="Y19" s="42" t="s">
        <v>185</v>
      </c>
      <c r="Z19" s="43" t="s">
        <v>243</v>
      </c>
      <c r="AA19" s="43" t="s">
        <v>179</v>
      </c>
      <c r="AB19" s="43" t="s">
        <v>186</v>
      </c>
      <c r="AC19" s="43" t="s">
        <v>179</v>
      </c>
      <c r="AD19" s="43" t="s">
        <v>234</v>
      </c>
      <c r="AE19" s="43" t="s">
        <v>235</v>
      </c>
      <c r="AF19" s="44" t="s">
        <v>236</v>
      </c>
      <c r="AG19" s="38" t="s">
        <v>179</v>
      </c>
      <c r="AH19" s="154" t="s">
        <v>179</v>
      </c>
      <c r="AK19" s="42" t="s">
        <v>185</v>
      </c>
      <c r="AL19" s="43" t="s">
        <v>243</v>
      </c>
      <c r="AM19" s="43" t="s">
        <v>179</v>
      </c>
      <c r="AN19" s="43" t="s">
        <v>186</v>
      </c>
      <c r="AO19" s="43" t="s">
        <v>179</v>
      </c>
      <c r="AP19" s="43" t="s">
        <v>234</v>
      </c>
      <c r="AQ19" s="43" t="s">
        <v>235</v>
      </c>
      <c r="AR19" s="44" t="s">
        <v>236</v>
      </c>
      <c r="AS19" s="38" t="s">
        <v>179</v>
      </c>
      <c r="AT19" s="154" t="s">
        <v>179</v>
      </c>
    </row>
    <row r="20" spans="1:46" ht="15" x14ac:dyDescent="0.25">
      <c r="A20" s="45" t="s">
        <v>102</v>
      </c>
      <c r="B20" s="46">
        <v>2780</v>
      </c>
      <c r="C20" s="46" t="s">
        <v>148</v>
      </c>
      <c r="D20" s="47">
        <v>0.75</v>
      </c>
      <c r="E20" s="48" t="s">
        <v>190</v>
      </c>
      <c r="F20" s="140">
        <f>B20*D20</f>
        <v>2085</v>
      </c>
      <c r="G20" s="49">
        <v>850</v>
      </c>
      <c r="H20" s="50">
        <f>F20*G20</f>
        <v>1772250</v>
      </c>
      <c r="I20" s="40">
        <f>H20*12</f>
        <v>21267000</v>
      </c>
      <c r="J20" s="153" t="s">
        <v>179</v>
      </c>
      <c r="K20" s="37" t="s">
        <v>179</v>
      </c>
      <c r="L20" s="37" t="s">
        <v>179</v>
      </c>
      <c r="M20" s="45" t="s">
        <v>102</v>
      </c>
      <c r="N20" s="140">
        <f>B20*$T$7</f>
        <v>2529.8000000000002</v>
      </c>
      <c r="O20" s="46" t="s">
        <v>148</v>
      </c>
      <c r="P20" s="47">
        <v>0.75</v>
      </c>
      <c r="Q20" s="48" t="s">
        <v>190</v>
      </c>
      <c r="R20" s="140">
        <f>N20*P20</f>
        <v>1897.3500000000001</v>
      </c>
      <c r="S20" s="49">
        <v>850</v>
      </c>
      <c r="T20" s="50">
        <f>R20*S20</f>
        <v>1612747.5</v>
      </c>
      <c r="U20" s="40">
        <f>T20*12</f>
        <v>19352970</v>
      </c>
      <c r="V20" s="153" t="s">
        <v>179</v>
      </c>
      <c r="Y20" s="45" t="s">
        <v>102</v>
      </c>
      <c r="Z20" s="140">
        <f>B20*$AF$7</f>
        <v>3030.2000000000003</v>
      </c>
      <c r="AA20" s="46" t="s">
        <v>148</v>
      </c>
      <c r="AB20" s="47">
        <v>0.75</v>
      </c>
      <c r="AC20" s="48" t="s">
        <v>190</v>
      </c>
      <c r="AD20" s="140">
        <f>Z20*AB20</f>
        <v>2272.65</v>
      </c>
      <c r="AE20" s="49">
        <v>850</v>
      </c>
      <c r="AF20" s="50">
        <f>AD20*AE20</f>
        <v>1931752.5</v>
      </c>
      <c r="AG20" s="40">
        <f>AF20*12</f>
        <v>23181030</v>
      </c>
      <c r="AH20" s="153" t="s">
        <v>179</v>
      </c>
      <c r="AK20" s="45" t="s">
        <v>102</v>
      </c>
      <c r="AL20" s="140">
        <f>B20</f>
        <v>2780</v>
      </c>
      <c r="AM20" s="46" t="s">
        <v>148</v>
      </c>
      <c r="AN20" s="47">
        <v>0.75</v>
      </c>
      <c r="AO20" s="48" t="s">
        <v>190</v>
      </c>
      <c r="AP20" s="140">
        <f>AL20*AN20</f>
        <v>2085</v>
      </c>
      <c r="AQ20" s="49">
        <f>850*$AR$7</f>
        <v>824.5</v>
      </c>
      <c r="AR20" s="50">
        <f>AP20*AQ20</f>
        <v>1719082.5</v>
      </c>
      <c r="AS20" s="40">
        <f>AR20*12</f>
        <v>20628990</v>
      </c>
      <c r="AT20" s="153" t="s">
        <v>179</v>
      </c>
    </row>
    <row r="21" spans="1:46" ht="15" x14ac:dyDescent="0.25">
      <c r="A21" s="45" t="s">
        <v>103</v>
      </c>
      <c r="B21" s="46">
        <v>4170</v>
      </c>
      <c r="C21" s="46" t="s">
        <v>148</v>
      </c>
      <c r="D21" s="47">
        <v>0.75</v>
      </c>
      <c r="E21" s="48" t="s">
        <v>190</v>
      </c>
      <c r="F21" s="140">
        <f t="shared" ref="F21:F24" si="16">B21*D21</f>
        <v>3127.5</v>
      </c>
      <c r="G21" s="49">
        <v>850</v>
      </c>
      <c r="H21" s="50">
        <f t="shared" ref="H21:H24" si="17">F21*G21</f>
        <v>2658375</v>
      </c>
      <c r="I21" s="40">
        <f t="shared" ref="I21:I24" si="18">H21*12</f>
        <v>31900500</v>
      </c>
      <c r="J21" s="153" t="s">
        <v>179</v>
      </c>
      <c r="K21" s="37" t="s">
        <v>179</v>
      </c>
      <c r="L21" s="37" t="s">
        <v>179</v>
      </c>
      <c r="M21" s="45" t="s">
        <v>103</v>
      </c>
      <c r="N21" s="140">
        <f t="shared" ref="N21:N24" si="19">B21*$T$7</f>
        <v>3794.7000000000003</v>
      </c>
      <c r="O21" s="46" t="s">
        <v>148</v>
      </c>
      <c r="P21" s="47">
        <v>0.75</v>
      </c>
      <c r="Q21" s="48" t="s">
        <v>190</v>
      </c>
      <c r="R21" s="140">
        <f t="shared" ref="R21:R24" si="20">N21*P21</f>
        <v>2846.0250000000001</v>
      </c>
      <c r="S21" s="49">
        <v>850</v>
      </c>
      <c r="T21" s="50">
        <f t="shared" ref="T21:T24" si="21">R21*S21</f>
        <v>2419121.25</v>
      </c>
      <c r="U21" s="40">
        <f t="shared" ref="U21:U24" si="22">T21*12</f>
        <v>29029455</v>
      </c>
      <c r="V21" s="153" t="s">
        <v>179</v>
      </c>
      <c r="Y21" s="45" t="s">
        <v>103</v>
      </c>
      <c r="Z21" s="140">
        <f t="shared" ref="Z21:Z24" si="23">B21*$AF$7</f>
        <v>4545.3</v>
      </c>
      <c r="AA21" s="46" t="s">
        <v>148</v>
      </c>
      <c r="AB21" s="47">
        <v>0.75</v>
      </c>
      <c r="AC21" s="48" t="s">
        <v>190</v>
      </c>
      <c r="AD21" s="140">
        <f t="shared" ref="AD21:AD24" si="24">Z21*AB21</f>
        <v>3408.9750000000004</v>
      </c>
      <c r="AE21" s="49">
        <v>850</v>
      </c>
      <c r="AF21" s="50">
        <f t="shared" ref="AF21:AF24" si="25">AD21*AE21</f>
        <v>2897628.7500000005</v>
      </c>
      <c r="AG21" s="40">
        <f t="shared" ref="AG21:AG24" si="26">AF21*12</f>
        <v>34771545.000000007</v>
      </c>
      <c r="AH21" s="153" t="s">
        <v>179</v>
      </c>
      <c r="AK21" s="45" t="s">
        <v>103</v>
      </c>
      <c r="AL21" s="140">
        <f t="shared" ref="AL21:AL24" si="27">B21</f>
        <v>4170</v>
      </c>
      <c r="AM21" s="46" t="s">
        <v>148</v>
      </c>
      <c r="AN21" s="47">
        <v>0.75</v>
      </c>
      <c r="AO21" s="48" t="s">
        <v>190</v>
      </c>
      <c r="AP21" s="140">
        <f t="shared" ref="AP21:AP24" si="28">AL21*AN21</f>
        <v>3127.5</v>
      </c>
      <c r="AQ21" s="49">
        <f t="shared" ref="AQ21:AQ24" si="29">850*$AR$7</f>
        <v>824.5</v>
      </c>
      <c r="AR21" s="50">
        <f t="shared" ref="AR21:AR24" si="30">AP21*AQ21</f>
        <v>2578623.75</v>
      </c>
      <c r="AS21" s="40">
        <f t="shared" ref="AS21:AS24" si="31">AR21*12</f>
        <v>30943485</v>
      </c>
      <c r="AT21" s="153" t="s">
        <v>179</v>
      </c>
    </row>
    <row r="22" spans="1:46" ht="15" x14ac:dyDescent="0.25">
      <c r="A22" s="45" t="s">
        <v>104</v>
      </c>
      <c r="B22" s="46">
        <v>5560</v>
      </c>
      <c r="C22" s="46" t="s">
        <v>148</v>
      </c>
      <c r="D22" s="47">
        <v>0.75</v>
      </c>
      <c r="E22" s="48" t="s">
        <v>190</v>
      </c>
      <c r="F22" s="140">
        <f t="shared" si="16"/>
        <v>4170</v>
      </c>
      <c r="G22" s="49">
        <v>850</v>
      </c>
      <c r="H22" s="50">
        <f t="shared" si="17"/>
        <v>3544500</v>
      </c>
      <c r="I22" s="40">
        <f t="shared" si="18"/>
        <v>42534000</v>
      </c>
      <c r="J22" s="153" t="s">
        <v>179</v>
      </c>
      <c r="K22" s="37" t="s">
        <v>179</v>
      </c>
      <c r="L22" s="37" t="s">
        <v>179</v>
      </c>
      <c r="M22" s="45" t="s">
        <v>104</v>
      </c>
      <c r="N22" s="140">
        <f t="shared" si="19"/>
        <v>5059.6000000000004</v>
      </c>
      <c r="O22" s="46" t="s">
        <v>148</v>
      </c>
      <c r="P22" s="47">
        <v>0.75</v>
      </c>
      <c r="Q22" s="48" t="s">
        <v>190</v>
      </c>
      <c r="R22" s="140">
        <f t="shared" si="20"/>
        <v>3794.7000000000003</v>
      </c>
      <c r="S22" s="49">
        <v>850</v>
      </c>
      <c r="T22" s="50">
        <f t="shared" si="21"/>
        <v>3225495</v>
      </c>
      <c r="U22" s="40">
        <f t="shared" si="22"/>
        <v>38705940</v>
      </c>
      <c r="V22" s="153" t="s">
        <v>179</v>
      </c>
      <c r="Y22" s="45" t="s">
        <v>104</v>
      </c>
      <c r="Z22" s="140">
        <f t="shared" si="23"/>
        <v>6060.4000000000005</v>
      </c>
      <c r="AA22" s="46" t="s">
        <v>148</v>
      </c>
      <c r="AB22" s="47">
        <v>0.75</v>
      </c>
      <c r="AC22" s="48" t="s">
        <v>190</v>
      </c>
      <c r="AD22" s="140">
        <f t="shared" si="24"/>
        <v>4545.3</v>
      </c>
      <c r="AE22" s="49">
        <v>850</v>
      </c>
      <c r="AF22" s="50">
        <f t="shared" si="25"/>
        <v>3863505</v>
      </c>
      <c r="AG22" s="40">
        <f t="shared" si="26"/>
        <v>46362060</v>
      </c>
      <c r="AH22" s="153" t="s">
        <v>179</v>
      </c>
      <c r="AK22" s="45" t="s">
        <v>104</v>
      </c>
      <c r="AL22" s="140">
        <f t="shared" si="27"/>
        <v>5560</v>
      </c>
      <c r="AM22" s="46" t="s">
        <v>148</v>
      </c>
      <c r="AN22" s="47">
        <v>0.75</v>
      </c>
      <c r="AO22" s="48" t="s">
        <v>190</v>
      </c>
      <c r="AP22" s="140">
        <f t="shared" si="28"/>
        <v>4170</v>
      </c>
      <c r="AQ22" s="49">
        <f t="shared" si="29"/>
        <v>824.5</v>
      </c>
      <c r="AR22" s="50">
        <f t="shared" si="30"/>
        <v>3438165</v>
      </c>
      <c r="AS22" s="40">
        <f t="shared" si="31"/>
        <v>41257980</v>
      </c>
      <c r="AT22" s="153" t="s">
        <v>179</v>
      </c>
    </row>
    <row r="23" spans="1:46" ht="15" x14ac:dyDescent="0.25">
      <c r="A23" s="45" t="s">
        <v>105</v>
      </c>
      <c r="B23" s="46">
        <v>5560</v>
      </c>
      <c r="C23" s="46" t="s">
        <v>148</v>
      </c>
      <c r="D23" s="47">
        <v>0.75</v>
      </c>
      <c r="E23" s="48" t="s">
        <v>190</v>
      </c>
      <c r="F23" s="140">
        <f t="shared" si="16"/>
        <v>4170</v>
      </c>
      <c r="G23" s="49">
        <v>850</v>
      </c>
      <c r="H23" s="50">
        <f t="shared" si="17"/>
        <v>3544500</v>
      </c>
      <c r="I23" s="40">
        <f t="shared" si="18"/>
        <v>42534000</v>
      </c>
      <c r="J23" s="153" t="s">
        <v>179</v>
      </c>
      <c r="K23" s="37" t="s">
        <v>179</v>
      </c>
      <c r="L23" s="37" t="s">
        <v>179</v>
      </c>
      <c r="M23" s="45" t="s">
        <v>105</v>
      </c>
      <c r="N23" s="140">
        <f t="shared" si="19"/>
        <v>5059.6000000000004</v>
      </c>
      <c r="O23" s="46" t="s">
        <v>148</v>
      </c>
      <c r="P23" s="47">
        <v>0.75</v>
      </c>
      <c r="Q23" s="48" t="s">
        <v>190</v>
      </c>
      <c r="R23" s="140">
        <f t="shared" si="20"/>
        <v>3794.7000000000003</v>
      </c>
      <c r="S23" s="49">
        <v>850</v>
      </c>
      <c r="T23" s="50">
        <f t="shared" si="21"/>
        <v>3225495</v>
      </c>
      <c r="U23" s="40">
        <f t="shared" si="22"/>
        <v>38705940</v>
      </c>
      <c r="V23" s="153" t="s">
        <v>179</v>
      </c>
      <c r="Y23" s="45" t="s">
        <v>105</v>
      </c>
      <c r="Z23" s="140">
        <f t="shared" si="23"/>
        <v>6060.4000000000005</v>
      </c>
      <c r="AA23" s="46" t="s">
        <v>148</v>
      </c>
      <c r="AB23" s="47">
        <v>0.75</v>
      </c>
      <c r="AC23" s="48" t="s">
        <v>190</v>
      </c>
      <c r="AD23" s="140">
        <f t="shared" si="24"/>
        <v>4545.3</v>
      </c>
      <c r="AE23" s="49">
        <v>850</v>
      </c>
      <c r="AF23" s="50">
        <f t="shared" si="25"/>
        <v>3863505</v>
      </c>
      <c r="AG23" s="40">
        <f t="shared" si="26"/>
        <v>46362060</v>
      </c>
      <c r="AH23" s="153" t="s">
        <v>179</v>
      </c>
      <c r="AK23" s="45" t="s">
        <v>105</v>
      </c>
      <c r="AL23" s="140">
        <f t="shared" si="27"/>
        <v>5560</v>
      </c>
      <c r="AM23" s="46" t="s">
        <v>148</v>
      </c>
      <c r="AN23" s="47">
        <v>0.75</v>
      </c>
      <c r="AO23" s="48" t="s">
        <v>190</v>
      </c>
      <c r="AP23" s="140">
        <f t="shared" si="28"/>
        <v>4170</v>
      </c>
      <c r="AQ23" s="49">
        <f t="shared" si="29"/>
        <v>824.5</v>
      </c>
      <c r="AR23" s="50">
        <f t="shared" si="30"/>
        <v>3438165</v>
      </c>
      <c r="AS23" s="40">
        <f t="shared" si="31"/>
        <v>41257980</v>
      </c>
      <c r="AT23" s="153" t="s">
        <v>179</v>
      </c>
    </row>
    <row r="24" spans="1:46" ht="15.75" thickBot="1" x14ac:dyDescent="0.3">
      <c r="A24" s="53" t="s">
        <v>106</v>
      </c>
      <c r="B24" s="54">
        <v>5560</v>
      </c>
      <c r="C24" s="54" t="s">
        <v>148</v>
      </c>
      <c r="D24" s="55">
        <v>0.75</v>
      </c>
      <c r="E24" s="56" t="s">
        <v>190</v>
      </c>
      <c r="F24" s="141">
        <f t="shared" si="16"/>
        <v>4170</v>
      </c>
      <c r="G24" s="142">
        <v>850</v>
      </c>
      <c r="H24" s="143">
        <f t="shared" si="17"/>
        <v>3544500</v>
      </c>
      <c r="I24" s="40">
        <f t="shared" si="18"/>
        <v>42534000</v>
      </c>
      <c r="J24" s="153" t="s">
        <v>179</v>
      </c>
      <c r="K24" s="37" t="s">
        <v>179</v>
      </c>
      <c r="L24" s="37" t="s">
        <v>179</v>
      </c>
      <c r="M24" s="53" t="s">
        <v>106</v>
      </c>
      <c r="N24" s="141">
        <f t="shared" si="19"/>
        <v>5059.6000000000004</v>
      </c>
      <c r="O24" s="54" t="s">
        <v>148</v>
      </c>
      <c r="P24" s="55">
        <v>0.75</v>
      </c>
      <c r="Q24" s="56" t="s">
        <v>190</v>
      </c>
      <c r="R24" s="141">
        <f t="shared" si="20"/>
        <v>3794.7000000000003</v>
      </c>
      <c r="S24" s="142">
        <v>850</v>
      </c>
      <c r="T24" s="143">
        <f t="shared" si="21"/>
        <v>3225495</v>
      </c>
      <c r="U24" s="40">
        <f t="shared" si="22"/>
        <v>38705940</v>
      </c>
      <c r="V24" s="153" t="s">
        <v>179</v>
      </c>
      <c r="Y24" s="53" t="s">
        <v>106</v>
      </c>
      <c r="Z24" s="141">
        <f t="shared" si="23"/>
        <v>6060.4000000000005</v>
      </c>
      <c r="AA24" s="54" t="s">
        <v>148</v>
      </c>
      <c r="AB24" s="55">
        <v>0.75</v>
      </c>
      <c r="AC24" s="56" t="s">
        <v>190</v>
      </c>
      <c r="AD24" s="141">
        <f t="shared" si="24"/>
        <v>4545.3</v>
      </c>
      <c r="AE24" s="142">
        <v>850</v>
      </c>
      <c r="AF24" s="143">
        <f t="shared" si="25"/>
        <v>3863505</v>
      </c>
      <c r="AG24" s="40">
        <f t="shared" si="26"/>
        <v>46362060</v>
      </c>
      <c r="AH24" s="153" t="s">
        <v>179</v>
      </c>
      <c r="AK24" s="53" t="s">
        <v>106</v>
      </c>
      <c r="AL24" s="141">
        <f t="shared" si="27"/>
        <v>5560</v>
      </c>
      <c r="AM24" s="54" t="s">
        <v>148</v>
      </c>
      <c r="AN24" s="55">
        <v>0.75</v>
      </c>
      <c r="AO24" s="56" t="s">
        <v>190</v>
      </c>
      <c r="AP24" s="141">
        <f t="shared" si="28"/>
        <v>4170</v>
      </c>
      <c r="AQ24" s="163">
        <f t="shared" si="29"/>
        <v>824.5</v>
      </c>
      <c r="AR24" s="143">
        <f t="shared" si="30"/>
        <v>3438165</v>
      </c>
      <c r="AS24" s="40">
        <f t="shared" si="31"/>
        <v>41257980</v>
      </c>
      <c r="AT24" s="153" t="s">
        <v>179</v>
      </c>
    </row>
    <row r="25" spans="1:46" ht="15.75" thickBot="1" x14ac:dyDescent="0.3">
      <c r="A25" s="152" t="s">
        <v>179</v>
      </c>
      <c r="B25" s="37" t="s">
        <v>179</v>
      </c>
      <c r="C25" s="37" t="s">
        <v>179</v>
      </c>
      <c r="D25" s="37" t="s">
        <v>179</v>
      </c>
      <c r="E25" s="37" t="s">
        <v>179</v>
      </c>
      <c r="F25" s="37" t="s">
        <v>179</v>
      </c>
      <c r="G25" s="37" t="s">
        <v>179</v>
      </c>
      <c r="H25" s="37" t="s">
        <v>179</v>
      </c>
      <c r="I25" s="37" t="s">
        <v>179</v>
      </c>
      <c r="J25" s="153" t="s">
        <v>179</v>
      </c>
      <c r="K25" s="37" t="s">
        <v>179</v>
      </c>
      <c r="L25" s="37" t="s">
        <v>179</v>
      </c>
      <c r="M25" s="152" t="s">
        <v>179</v>
      </c>
      <c r="N25" s="37" t="s">
        <v>179</v>
      </c>
      <c r="O25" s="37" t="s">
        <v>179</v>
      </c>
      <c r="P25" s="37" t="s">
        <v>179</v>
      </c>
      <c r="Q25" s="37" t="s">
        <v>179</v>
      </c>
      <c r="R25" s="37" t="s">
        <v>179</v>
      </c>
      <c r="S25" s="37" t="s">
        <v>179</v>
      </c>
      <c r="T25" s="37" t="s">
        <v>179</v>
      </c>
      <c r="U25" s="37" t="s">
        <v>179</v>
      </c>
      <c r="V25" s="153" t="s">
        <v>179</v>
      </c>
      <c r="Y25" s="152" t="s">
        <v>179</v>
      </c>
      <c r="Z25" s="37" t="s">
        <v>179</v>
      </c>
      <c r="AA25" s="37" t="s">
        <v>179</v>
      </c>
      <c r="AB25" s="37" t="s">
        <v>179</v>
      </c>
      <c r="AC25" s="37" t="s">
        <v>179</v>
      </c>
      <c r="AD25" s="37" t="s">
        <v>179</v>
      </c>
      <c r="AE25" s="37" t="s">
        <v>179</v>
      </c>
      <c r="AF25" s="37" t="s">
        <v>179</v>
      </c>
      <c r="AG25" s="37" t="s">
        <v>179</v>
      </c>
      <c r="AH25" s="153" t="s">
        <v>179</v>
      </c>
      <c r="AK25" s="152" t="s">
        <v>179</v>
      </c>
      <c r="AL25" s="37" t="s">
        <v>179</v>
      </c>
      <c r="AM25" s="37" t="s">
        <v>179</v>
      </c>
      <c r="AN25" s="37" t="s">
        <v>179</v>
      </c>
      <c r="AO25" s="37" t="s">
        <v>179</v>
      </c>
      <c r="AP25" s="37" t="s">
        <v>179</v>
      </c>
      <c r="AQ25" s="37" t="s">
        <v>179</v>
      </c>
      <c r="AR25" s="37" t="s">
        <v>179</v>
      </c>
      <c r="AS25" s="37" t="s">
        <v>179</v>
      </c>
      <c r="AT25" s="153" t="s">
        <v>179</v>
      </c>
    </row>
    <row r="26" spans="1:46" ht="15" x14ac:dyDescent="0.25">
      <c r="A26" s="254" t="s">
        <v>192</v>
      </c>
      <c r="B26" s="255"/>
      <c r="C26" s="255"/>
      <c r="D26" s="255"/>
      <c r="E26" s="255"/>
      <c r="F26" s="255"/>
      <c r="G26" s="255"/>
      <c r="H26" s="256"/>
      <c r="I26" s="37" t="s">
        <v>179</v>
      </c>
      <c r="J26" s="153" t="s">
        <v>179</v>
      </c>
      <c r="K26" s="37" t="s">
        <v>179</v>
      </c>
      <c r="L26" s="37" t="s">
        <v>179</v>
      </c>
      <c r="M26" s="254" t="s">
        <v>192</v>
      </c>
      <c r="N26" s="255"/>
      <c r="O26" s="255"/>
      <c r="P26" s="255"/>
      <c r="Q26" s="255"/>
      <c r="R26" s="255"/>
      <c r="S26" s="255"/>
      <c r="T26" s="256"/>
      <c r="U26" s="37" t="s">
        <v>179</v>
      </c>
      <c r="V26" s="153" t="s">
        <v>179</v>
      </c>
      <c r="Y26" s="254" t="s">
        <v>192</v>
      </c>
      <c r="Z26" s="255"/>
      <c r="AA26" s="255"/>
      <c r="AB26" s="255"/>
      <c r="AC26" s="255"/>
      <c r="AD26" s="255"/>
      <c r="AE26" s="255"/>
      <c r="AF26" s="256"/>
      <c r="AG26" s="37" t="s">
        <v>179</v>
      </c>
      <c r="AH26" s="153" t="s">
        <v>179</v>
      </c>
      <c r="AK26" s="254" t="s">
        <v>192</v>
      </c>
      <c r="AL26" s="255"/>
      <c r="AM26" s="255"/>
      <c r="AN26" s="255"/>
      <c r="AO26" s="255"/>
      <c r="AP26" s="255"/>
      <c r="AQ26" s="255"/>
      <c r="AR26" s="256"/>
      <c r="AS26" s="37" t="s">
        <v>179</v>
      </c>
      <c r="AT26" s="153" t="s">
        <v>179</v>
      </c>
    </row>
    <row r="27" spans="1:46" ht="60" x14ac:dyDescent="0.25">
      <c r="A27" s="42" t="s">
        <v>185</v>
      </c>
      <c r="B27" s="43" t="s">
        <v>243</v>
      </c>
      <c r="C27" s="43" t="s">
        <v>179</v>
      </c>
      <c r="D27" s="43" t="s">
        <v>186</v>
      </c>
      <c r="E27" s="43" t="s">
        <v>179</v>
      </c>
      <c r="F27" s="43" t="s">
        <v>237</v>
      </c>
      <c r="G27" s="43" t="s">
        <v>238</v>
      </c>
      <c r="H27" s="44" t="s">
        <v>239</v>
      </c>
      <c r="I27" s="37" t="s">
        <v>179</v>
      </c>
      <c r="J27" s="153" t="s">
        <v>179</v>
      </c>
      <c r="K27" s="37" t="s">
        <v>179</v>
      </c>
      <c r="L27" s="37" t="s">
        <v>179</v>
      </c>
      <c r="M27" s="42" t="s">
        <v>185</v>
      </c>
      <c r="N27" s="43" t="s">
        <v>243</v>
      </c>
      <c r="O27" s="43" t="s">
        <v>179</v>
      </c>
      <c r="P27" s="43" t="s">
        <v>186</v>
      </c>
      <c r="Q27" s="43" t="s">
        <v>179</v>
      </c>
      <c r="R27" s="43" t="s">
        <v>237</v>
      </c>
      <c r="S27" s="43" t="s">
        <v>238</v>
      </c>
      <c r="T27" s="44" t="s">
        <v>239</v>
      </c>
      <c r="U27" s="37" t="s">
        <v>179</v>
      </c>
      <c r="V27" s="153" t="s">
        <v>179</v>
      </c>
      <c r="Y27" s="42" t="s">
        <v>185</v>
      </c>
      <c r="Z27" s="43" t="s">
        <v>243</v>
      </c>
      <c r="AA27" s="43" t="s">
        <v>179</v>
      </c>
      <c r="AB27" s="43" t="s">
        <v>186</v>
      </c>
      <c r="AC27" s="43" t="s">
        <v>179</v>
      </c>
      <c r="AD27" s="43" t="s">
        <v>237</v>
      </c>
      <c r="AE27" s="43" t="s">
        <v>238</v>
      </c>
      <c r="AF27" s="44" t="s">
        <v>239</v>
      </c>
      <c r="AG27" s="37" t="s">
        <v>179</v>
      </c>
      <c r="AH27" s="153" t="s">
        <v>179</v>
      </c>
      <c r="AK27" s="42" t="s">
        <v>185</v>
      </c>
      <c r="AL27" s="43" t="s">
        <v>243</v>
      </c>
      <c r="AM27" s="43" t="s">
        <v>179</v>
      </c>
      <c r="AN27" s="43" t="s">
        <v>186</v>
      </c>
      <c r="AO27" s="43" t="s">
        <v>179</v>
      </c>
      <c r="AP27" s="43" t="s">
        <v>237</v>
      </c>
      <c r="AQ27" s="43" t="s">
        <v>238</v>
      </c>
      <c r="AR27" s="44" t="s">
        <v>239</v>
      </c>
      <c r="AS27" s="37" t="s">
        <v>179</v>
      </c>
      <c r="AT27" s="153" t="s">
        <v>179</v>
      </c>
    </row>
    <row r="28" spans="1:46" ht="15" x14ac:dyDescent="0.25">
      <c r="A28" s="45" t="s">
        <v>102</v>
      </c>
      <c r="B28" s="46">
        <v>2780</v>
      </c>
      <c r="C28" s="46" t="s">
        <v>148</v>
      </c>
      <c r="D28" s="47">
        <v>0.1</v>
      </c>
      <c r="E28" s="48" t="s">
        <v>190</v>
      </c>
      <c r="F28" s="46">
        <f>B28*D28</f>
        <v>278</v>
      </c>
      <c r="G28" s="49">
        <v>900</v>
      </c>
      <c r="H28" s="50">
        <f>F28*G28</f>
        <v>250200</v>
      </c>
      <c r="I28" s="40">
        <f>H28*12</f>
        <v>3002400</v>
      </c>
      <c r="J28" s="153" t="s">
        <v>179</v>
      </c>
      <c r="K28" s="37" t="s">
        <v>179</v>
      </c>
      <c r="L28" s="37" t="s">
        <v>179</v>
      </c>
      <c r="M28" s="45" t="s">
        <v>102</v>
      </c>
      <c r="N28" s="140">
        <f>B28*$T$7</f>
        <v>2529.8000000000002</v>
      </c>
      <c r="O28" s="46" t="s">
        <v>148</v>
      </c>
      <c r="P28" s="47">
        <v>0.1</v>
      </c>
      <c r="Q28" s="48" t="s">
        <v>190</v>
      </c>
      <c r="R28" s="140">
        <f>N28*P28</f>
        <v>252.98000000000002</v>
      </c>
      <c r="S28" s="49">
        <v>900</v>
      </c>
      <c r="T28" s="50">
        <f>R28*S28</f>
        <v>227682.00000000003</v>
      </c>
      <c r="U28" s="40">
        <f>T28*12</f>
        <v>2732184.0000000005</v>
      </c>
      <c r="V28" s="153" t="s">
        <v>179</v>
      </c>
      <c r="Y28" s="45" t="s">
        <v>102</v>
      </c>
      <c r="Z28" s="140">
        <f>B28*$AF$7</f>
        <v>3030.2000000000003</v>
      </c>
      <c r="AA28" s="46" t="s">
        <v>148</v>
      </c>
      <c r="AB28" s="47">
        <v>0.1</v>
      </c>
      <c r="AC28" s="48" t="s">
        <v>190</v>
      </c>
      <c r="AD28" s="140">
        <f>Z28*AB28</f>
        <v>303.02000000000004</v>
      </c>
      <c r="AE28" s="49">
        <v>900</v>
      </c>
      <c r="AF28" s="50">
        <f>AD28*AE28</f>
        <v>272718.00000000006</v>
      </c>
      <c r="AG28" s="40">
        <f>AF28*12</f>
        <v>3272616.0000000009</v>
      </c>
      <c r="AH28" s="153" t="s">
        <v>179</v>
      </c>
      <c r="AK28" s="45" t="s">
        <v>102</v>
      </c>
      <c r="AL28" s="140">
        <f>B28</f>
        <v>2780</v>
      </c>
      <c r="AM28" s="46" t="s">
        <v>148</v>
      </c>
      <c r="AN28" s="47">
        <v>0.1</v>
      </c>
      <c r="AO28" s="48" t="s">
        <v>190</v>
      </c>
      <c r="AP28" s="140">
        <f>AL28*AN28</f>
        <v>278</v>
      </c>
      <c r="AQ28" s="49">
        <f>900*$AR$7</f>
        <v>873</v>
      </c>
      <c r="AR28" s="50">
        <f>AP28*AQ28</f>
        <v>242694</v>
      </c>
      <c r="AS28" s="40">
        <f>AR28*12</f>
        <v>2912328</v>
      </c>
      <c r="AT28" s="153" t="s">
        <v>179</v>
      </c>
    </row>
    <row r="29" spans="1:46" ht="15" x14ac:dyDescent="0.25">
      <c r="A29" s="45" t="s">
        <v>103</v>
      </c>
      <c r="B29" s="46">
        <v>4170</v>
      </c>
      <c r="C29" s="46" t="s">
        <v>148</v>
      </c>
      <c r="D29" s="47">
        <v>0.1</v>
      </c>
      <c r="E29" s="48" t="s">
        <v>190</v>
      </c>
      <c r="F29" s="46">
        <f t="shared" ref="F29:F32" si="32">B29*D29</f>
        <v>417</v>
      </c>
      <c r="G29" s="49">
        <v>900</v>
      </c>
      <c r="H29" s="50">
        <f t="shared" ref="H29:H32" si="33">F29*G29</f>
        <v>375300</v>
      </c>
      <c r="I29" s="40">
        <f t="shared" ref="I29:I32" si="34">H29*12</f>
        <v>4503600</v>
      </c>
      <c r="J29" s="153" t="s">
        <v>179</v>
      </c>
      <c r="K29" s="37" t="s">
        <v>179</v>
      </c>
      <c r="L29" s="37" t="s">
        <v>179</v>
      </c>
      <c r="M29" s="45" t="s">
        <v>103</v>
      </c>
      <c r="N29" s="140">
        <f t="shared" ref="N29:N32" si="35">B29*$T$7</f>
        <v>3794.7000000000003</v>
      </c>
      <c r="O29" s="46" t="s">
        <v>148</v>
      </c>
      <c r="P29" s="47">
        <v>0.1</v>
      </c>
      <c r="Q29" s="48" t="s">
        <v>190</v>
      </c>
      <c r="R29" s="140">
        <f t="shared" ref="R29:R32" si="36">N29*P29</f>
        <v>379.47</v>
      </c>
      <c r="S29" s="49">
        <v>900</v>
      </c>
      <c r="T29" s="50">
        <f t="shared" ref="T29:T32" si="37">R29*S29</f>
        <v>341523</v>
      </c>
      <c r="U29" s="40">
        <f t="shared" ref="U29:U32" si="38">T29*12</f>
        <v>4098276</v>
      </c>
      <c r="V29" s="153" t="s">
        <v>179</v>
      </c>
      <c r="Y29" s="45" t="s">
        <v>103</v>
      </c>
      <c r="Z29" s="140">
        <f t="shared" ref="Z29:Z32" si="39">B29*$AF$7</f>
        <v>4545.3</v>
      </c>
      <c r="AA29" s="46" t="s">
        <v>148</v>
      </c>
      <c r="AB29" s="47">
        <v>0.1</v>
      </c>
      <c r="AC29" s="48" t="s">
        <v>190</v>
      </c>
      <c r="AD29" s="140">
        <f t="shared" ref="AD29:AD32" si="40">Z29*AB29</f>
        <v>454.53000000000003</v>
      </c>
      <c r="AE29" s="49">
        <v>900</v>
      </c>
      <c r="AF29" s="50">
        <f t="shared" ref="AF29:AF32" si="41">AD29*AE29</f>
        <v>409077</v>
      </c>
      <c r="AG29" s="40">
        <f t="shared" ref="AG29:AG32" si="42">AF29*12</f>
        <v>4908924</v>
      </c>
      <c r="AH29" s="153" t="s">
        <v>179</v>
      </c>
      <c r="AK29" s="45" t="s">
        <v>103</v>
      </c>
      <c r="AL29" s="140">
        <f t="shared" ref="AL29:AL32" si="43">B29</f>
        <v>4170</v>
      </c>
      <c r="AM29" s="46" t="s">
        <v>148</v>
      </c>
      <c r="AN29" s="47">
        <v>0.1</v>
      </c>
      <c r="AO29" s="48" t="s">
        <v>190</v>
      </c>
      <c r="AP29" s="140">
        <f t="shared" ref="AP29:AP32" si="44">AL29*AN29</f>
        <v>417</v>
      </c>
      <c r="AQ29" s="49">
        <f t="shared" ref="AQ29:AQ32" si="45">900*$AR$7</f>
        <v>873</v>
      </c>
      <c r="AR29" s="50">
        <f t="shared" ref="AR29:AR32" si="46">AP29*AQ29</f>
        <v>364041</v>
      </c>
      <c r="AS29" s="40">
        <f t="shared" ref="AS29:AS32" si="47">AR29*12</f>
        <v>4368492</v>
      </c>
      <c r="AT29" s="153" t="s">
        <v>179</v>
      </c>
    </row>
    <row r="30" spans="1:46" ht="15" x14ac:dyDescent="0.25">
      <c r="A30" s="45" t="s">
        <v>104</v>
      </c>
      <c r="B30" s="46">
        <v>5560</v>
      </c>
      <c r="C30" s="46" t="s">
        <v>148</v>
      </c>
      <c r="D30" s="47">
        <v>0.1</v>
      </c>
      <c r="E30" s="48" t="s">
        <v>190</v>
      </c>
      <c r="F30" s="46">
        <f t="shared" si="32"/>
        <v>556</v>
      </c>
      <c r="G30" s="49">
        <v>900</v>
      </c>
      <c r="H30" s="50">
        <f t="shared" si="33"/>
        <v>500400</v>
      </c>
      <c r="I30" s="40">
        <f t="shared" si="34"/>
        <v>6004800</v>
      </c>
      <c r="J30" s="153" t="s">
        <v>179</v>
      </c>
      <c r="K30" s="37" t="s">
        <v>179</v>
      </c>
      <c r="L30" s="37" t="s">
        <v>179</v>
      </c>
      <c r="M30" s="45" t="s">
        <v>104</v>
      </c>
      <c r="N30" s="140">
        <f t="shared" si="35"/>
        <v>5059.6000000000004</v>
      </c>
      <c r="O30" s="46" t="s">
        <v>148</v>
      </c>
      <c r="P30" s="47">
        <v>0.1</v>
      </c>
      <c r="Q30" s="48" t="s">
        <v>190</v>
      </c>
      <c r="R30" s="140">
        <f t="shared" si="36"/>
        <v>505.96000000000004</v>
      </c>
      <c r="S30" s="49">
        <v>900</v>
      </c>
      <c r="T30" s="50">
        <f t="shared" si="37"/>
        <v>455364.00000000006</v>
      </c>
      <c r="U30" s="40">
        <f t="shared" si="38"/>
        <v>5464368.0000000009</v>
      </c>
      <c r="V30" s="153" t="s">
        <v>179</v>
      </c>
      <c r="Y30" s="45" t="s">
        <v>104</v>
      </c>
      <c r="Z30" s="140">
        <f t="shared" si="39"/>
        <v>6060.4000000000005</v>
      </c>
      <c r="AA30" s="46" t="s">
        <v>148</v>
      </c>
      <c r="AB30" s="47">
        <v>0.1</v>
      </c>
      <c r="AC30" s="48" t="s">
        <v>190</v>
      </c>
      <c r="AD30" s="140">
        <f t="shared" si="40"/>
        <v>606.04000000000008</v>
      </c>
      <c r="AE30" s="49">
        <v>900</v>
      </c>
      <c r="AF30" s="50">
        <f t="shared" si="41"/>
        <v>545436.00000000012</v>
      </c>
      <c r="AG30" s="40">
        <f t="shared" si="42"/>
        <v>6545232.0000000019</v>
      </c>
      <c r="AH30" s="153" t="s">
        <v>179</v>
      </c>
      <c r="AK30" s="45" t="s">
        <v>104</v>
      </c>
      <c r="AL30" s="140">
        <f t="shared" si="43"/>
        <v>5560</v>
      </c>
      <c r="AM30" s="46" t="s">
        <v>148</v>
      </c>
      <c r="AN30" s="47">
        <v>0.1</v>
      </c>
      <c r="AO30" s="48" t="s">
        <v>190</v>
      </c>
      <c r="AP30" s="140">
        <f t="shared" si="44"/>
        <v>556</v>
      </c>
      <c r="AQ30" s="49">
        <f t="shared" si="45"/>
        <v>873</v>
      </c>
      <c r="AR30" s="50">
        <f t="shared" si="46"/>
        <v>485388</v>
      </c>
      <c r="AS30" s="40">
        <f t="shared" si="47"/>
        <v>5824656</v>
      </c>
      <c r="AT30" s="153" t="s">
        <v>179</v>
      </c>
    </row>
    <row r="31" spans="1:46" ht="15" x14ac:dyDescent="0.25">
      <c r="A31" s="45" t="s">
        <v>105</v>
      </c>
      <c r="B31" s="46">
        <v>5560</v>
      </c>
      <c r="C31" s="46" t="s">
        <v>148</v>
      </c>
      <c r="D31" s="47">
        <v>0.1</v>
      </c>
      <c r="E31" s="48" t="s">
        <v>190</v>
      </c>
      <c r="F31" s="46">
        <f t="shared" si="32"/>
        <v>556</v>
      </c>
      <c r="G31" s="49">
        <v>900</v>
      </c>
      <c r="H31" s="50">
        <f t="shared" si="33"/>
        <v>500400</v>
      </c>
      <c r="I31" s="40">
        <f t="shared" si="34"/>
        <v>6004800</v>
      </c>
      <c r="J31" s="153" t="s">
        <v>179</v>
      </c>
      <c r="K31" s="37" t="s">
        <v>179</v>
      </c>
      <c r="L31" s="37" t="s">
        <v>179</v>
      </c>
      <c r="M31" s="45" t="s">
        <v>105</v>
      </c>
      <c r="N31" s="140">
        <f t="shared" si="35"/>
        <v>5059.6000000000004</v>
      </c>
      <c r="O31" s="46" t="s">
        <v>148</v>
      </c>
      <c r="P31" s="47">
        <v>0.1</v>
      </c>
      <c r="Q31" s="48" t="s">
        <v>190</v>
      </c>
      <c r="R31" s="140">
        <f t="shared" si="36"/>
        <v>505.96000000000004</v>
      </c>
      <c r="S31" s="49">
        <v>900</v>
      </c>
      <c r="T31" s="50">
        <f t="shared" si="37"/>
        <v>455364.00000000006</v>
      </c>
      <c r="U31" s="40">
        <f t="shared" si="38"/>
        <v>5464368.0000000009</v>
      </c>
      <c r="V31" s="153" t="s">
        <v>179</v>
      </c>
      <c r="Y31" s="45" t="s">
        <v>105</v>
      </c>
      <c r="Z31" s="140">
        <f t="shared" si="39"/>
        <v>6060.4000000000005</v>
      </c>
      <c r="AA31" s="46" t="s">
        <v>148</v>
      </c>
      <c r="AB31" s="47">
        <v>0.1</v>
      </c>
      <c r="AC31" s="48" t="s">
        <v>190</v>
      </c>
      <c r="AD31" s="140">
        <f t="shared" si="40"/>
        <v>606.04000000000008</v>
      </c>
      <c r="AE31" s="49">
        <v>900</v>
      </c>
      <c r="AF31" s="50">
        <f t="shared" si="41"/>
        <v>545436.00000000012</v>
      </c>
      <c r="AG31" s="40">
        <f t="shared" si="42"/>
        <v>6545232.0000000019</v>
      </c>
      <c r="AH31" s="153" t="s">
        <v>179</v>
      </c>
      <c r="AK31" s="45" t="s">
        <v>105</v>
      </c>
      <c r="AL31" s="140">
        <f t="shared" si="43"/>
        <v>5560</v>
      </c>
      <c r="AM31" s="46" t="s">
        <v>148</v>
      </c>
      <c r="AN31" s="47">
        <v>0.1</v>
      </c>
      <c r="AO31" s="48" t="s">
        <v>190</v>
      </c>
      <c r="AP31" s="140">
        <f t="shared" si="44"/>
        <v>556</v>
      </c>
      <c r="AQ31" s="49">
        <f t="shared" si="45"/>
        <v>873</v>
      </c>
      <c r="AR31" s="50">
        <f t="shared" si="46"/>
        <v>485388</v>
      </c>
      <c r="AS31" s="40">
        <f t="shared" si="47"/>
        <v>5824656</v>
      </c>
      <c r="AT31" s="153" t="s">
        <v>179</v>
      </c>
    </row>
    <row r="32" spans="1:46" ht="15.75" thickBot="1" x14ac:dyDescent="0.3">
      <c r="A32" s="53" t="s">
        <v>106</v>
      </c>
      <c r="B32" s="54">
        <v>5560</v>
      </c>
      <c r="C32" s="54" t="s">
        <v>148</v>
      </c>
      <c r="D32" s="55">
        <v>0.1</v>
      </c>
      <c r="E32" s="56" t="s">
        <v>190</v>
      </c>
      <c r="F32" s="144">
        <f t="shared" si="32"/>
        <v>556</v>
      </c>
      <c r="G32" s="142">
        <v>900</v>
      </c>
      <c r="H32" s="143">
        <f t="shared" si="33"/>
        <v>500400</v>
      </c>
      <c r="I32" s="40">
        <f t="shared" si="34"/>
        <v>6004800</v>
      </c>
      <c r="J32" s="153" t="s">
        <v>179</v>
      </c>
      <c r="K32" s="37" t="s">
        <v>179</v>
      </c>
      <c r="L32" s="37" t="s">
        <v>179</v>
      </c>
      <c r="M32" s="53" t="s">
        <v>106</v>
      </c>
      <c r="N32" s="141">
        <f t="shared" si="35"/>
        <v>5059.6000000000004</v>
      </c>
      <c r="O32" s="54" t="s">
        <v>148</v>
      </c>
      <c r="P32" s="55">
        <v>0.1</v>
      </c>
      <c r="Q32" s="56" t="s">
        <v>190</v>
      </c>
      <c r="R32" s="141">
        <f t="shared" si="36"/>
        <v>505.96000000000004</v>
      </c>
      <c r="S32" s="142">
        <v>900</v>
      </c>
      <c r="T32" s="143">
        <f t="shared" si="37"/>
        <v>455364.00000000006</v>
      </c>
      <c r="U32" s="40">
        <f t="shared" si="38"/>
        <v>5464368.0000000009</v>
      </c>
      <c r="V32" s="153" t="s">
        <v>179</v>
      </c>
      <c r="Y32" s="53" t="s">
        <v>106</v>
      </c>
      <c r="Z32" s="141">
        <f t="shared" si="39"/>
        <v>6060.4000000000005</v>
      </c>
      <c r="AA32" s="54" t="s">
        <v>148</v>
      </c>
      <c r="AB32" s="55">
        <v>0.1</v>
      </c>
      <c r="AC32" s="56" t="s">
        <v>190</v>
      </c>
      <c r="AD32" s="141">
        <f t="shared" si="40"/>
        <v>606.04000000000008</v>
      </c>
      <c r="AE32" s="142">
        <v>900</v>
      </c>
      <c r="AF32" s="143">
        <f t="shared" si="41"/>
        <v>545436.00000000012</v>
      </c>
      <c r="AG32" s="40">
        <f t="shared" si="42"/>
        <v>6545232.0000000019</v>
      </c>
      <c r="AH32" s="153" t="s">
        <v>179</v>
      </c>
      <c r="AK32" s="53" t="s">
        <v>106</v>
      </c>
      <c r="AL32" s="141">
        <f t="shared" si="43"/>
        <v>5560</v>
      </c>
      <c r="AM32" s="54" t="s">
        <v>148</v>
      </c>
      <c r="AN32" s="55">
        <v>0.1</v>
      </c>
      <c r="AO32" s="56" t="s">
        <v>190</v>
      </c>
      <c r="AP32" s="141">
        <f t="shared" si="44"/>
        <v>556</v>
      </c>
      <c r="AQ32" s="163">
        <f t="shared" si="45"/>
        <v>873</v>
      </c>
      <c r="AR32" s="143">
        <f t="shared" si="46"/>
        <v>485388</v>
      </c>
      <c r="AS32" s="40">
        <f t="shared" si="47"/>
        <v>5824656</v>
      </c>
      <c r="AT32" s="153" t="s">
        <v>179</v>
      </c>
    </row>
    <row r="33" spans="1:46" ht="15" x14ac:dyDescent="0.25">
      <c r="A33" s="155"/>
      <c r="B33" s="137"/>
      <c r="C33" s="137"/>
      <c r="D33" s="137"/>
      <c r="E33" s="137"/>
      <c r="F33" s="137"/>
      <c r="G33" s="137"/>
      <c r="H33" s="137"/>
      <c r="I33" s="137"/>
      <c r="J33" s="156"/>
      <c r="K33" s="137"/>
      <c r="L33" s="137"/>
      <c r="M33" s="155"/>
      <c r="N33" s="137"/>
      <c r="O33" s="137"/>
      <c r="P33" s="137"/>
      <c r="Q33" s="137"/>
      <c r="R33" s="137"/>
      <c r="S33" s="137"/>
      <c r="T33" s="137"/>
      <c r="U33" s="137"/>
      <c r="V33" s="156"/>
      <c r="Y33" s="155"/>
      <c r="Z33" s="137"/>
      <c r="AA33" s="137"/>
      <c r="AB33" s="137"/>
      <c r="AC33" s="137"/>
      <c r="AD33" s="137"/>
      <c r="AE33" s="137"/>
      <c r="AF33" s="137"/>
      <c r="AG33" s="137"/>
      <c r="AH33" s="156"/>
      <c r="AK33" s="155"/>
      <c r="AL33" s="137"/>
      <c r="AM33" s="137"/>
      <c r="AN33" s="137"/>
      <c r="AO33" s="137"/>
      <c r="AP33" s="137"/>
      <c r="AQ33" s="137"/>
      <c r="AR33" s="137"/>
      <c r="AS33" s="137"/>
      <c r="AT33" s="156"/>
    </row>
    <row r="34" spans="1:46" ht="15" x14ac:dyDescent="0.25">
      <c r="A34" s="155"/>
      <c r="B34" s="137"/>
      <c r="C34" s="137"/>
      <c r="D34" s="137"/>
      <c r="E34" s="137"/>
      <c r="F34" s="137"/>
      <c r="G34" s="137"/>
      <c r="H34" s="137"/>
      <c r="I34" s="137"/>
      <c r="J34" s="156"/>
      <c r="K34" s="137"/>
      <c r="L34" s="137"/>
      <c r="M34" s="155"/>
      <c r="N34" s="137"/>
      <c r="O34" s="137"/>
      <c r="P34" s="137"/>
      <c r="Q34" s="137"/>
      <c r="R34" s="137"/>
      <c r="S34" s="137"/>
      <c r="T34" s="137"/>
      <c r="U34" s="137"/>
      <c r="V34" s="156"/>
      <c r="Y34" s="155"/>
      <c r="Z34" s="137"/>
      <c r="AA34" s="137"/>
      <c r="AB34" s="137"/>
      <c r="AC34" s="137"/>
      <c r="AD34" s="137"/>
      <c r="AE34" s="137"/>
      <c r="AF34" s="137"/>
      <c r="AG34" s="137"/>
      <c r="AH34" s="156"/>
      <c r="AK34" s="155"/>
      <c r="AL34" s="137"/>
      <c r="AM34" s="137"/>
      <c r="AN34" s="137"/>
      <c r="AO34" s="137"/>
      <c r="AP34" s="137"/>
      <c r="AQ34" s="137"/>
      <c r="AR34" s="137"/>
      <c r="AS34" s="137"/>
      <c r="AT34" s="156"/>
    </row>
    <row r="35" spans="1:46" ht="15" x14ac:dyDescent="0.25">
      <c r="A35" s="155"/>
      <c r="B35" s="258" t="s">
        <v>231</v>
      </c>
      <c r="C35" s="258"/>
      <c r="D35" s="258"/>
      <c r="E35" s="258"/>
      <c r="F35" s="258"/>
      <c r="G35" s="137"/>
      <c r="H35" s="145" t="s">
        <v>240</v>
      </c>
      <c r="I35" s="145" t="s">
        <v>244</v>
      </c>
      <c r="J35" s="156"/>
      <c r="K35" s="137"/>
      <c r="L35" s="137"/>
      <c r="M35" s="155"/>
      <c r="N35" s="258" t="s">
        <v>231</v>
      </c>
      <c r="O35" s="258"/>
      <c r="P35" s="258"/>
      <c r="Q35" s="258"/>
      <c r="R35" s="258"/>
      <c r="S35" s="137"/>
      <c r="T35" s="145" t="s">
        <v>240</v>
      </c>
      <c r="U35" s="145" t="s">
        <v>244</v>
      </c>
      <c r="V35" s="156"/>
      <c r="Y35" s="155"/>
      <c r="Z35" s="258" t="s">
        <v>231</v>
      </c>
      <c r="AA35" s="258"/>
      <c r="AB35" s="258"/>
      <c r="AC35" s="258"/>
      <c r="AD35" s="258"/>
      <c r="AE35" s="137"/>
      <c r="AF35" s="145" t="s">
        <v>240</v>
      </c>
      <c r="AG35" s="145" t="s">
        <v>244</v>
      </c>
      <c r="AH35" s="156"/>
      <c r="AK35" s="155"/>
      <c r="AL35" s="258" t="s">
        <v>231</v>
      </c>
      <c r="AM35" s="258"/>
      <c r="AN35" s="258"/>
      <c r="AO35" s="258"/>
      <c r="AP35" s="258"/>
      <c r="AQ35" s="137"/>
      <c r="AR35" s="145" t="s">
        <v>240</v>
      </c>
      <c r="AS35" s="145" t="s">
        <v>244</v>
      </c>
      <c r="AT35" s="156"/>
    </row>
    <row r="36" spans="1:46" ht="15" x14ac:dyDescent="0.25">
      <c r="A36" s="155"/>
      <c r="B36" s="145">
        <v>1</v>
      </c>
      <c r="C36" s="145">
        <v>2</v>
      </c>
      <c r="D36" s="145">
        <v>3</v>
      </c>
      <c r="E36" s="145">
        <v>4</v>
      </c>
      <c r="F36" s="145">
        <v>5</v>
      </c>
      <c r="G36" s="137"/>
      <c r="H36" s="162">
        <v>1</v>
      </c>
      <c r="I36" s="164">
        <f>G16</f>
        <v>450</v>
      </c>
      <c r="J36" s="156"/>
      <c r="K36" s="137"/>
      <c r="L36" s="137"/>
      <c r="M36" s="155"/>
      <c r="N36" s="145">
        <v>1</v>
      </c>
      <c r="O36" s="145">
        <v>2</v>
      </c>
      <c r="P36" s="145">
        <v>3</v>
      </c>
      <c r="Q36" s="145">
        <v>4</v>
      </c>
      <c r="R36" s="145">
        <v>5</v>
      </c>
      <c r="S36" s="137"/>
      <c r="T36" s="162">
        <v>1</v>
      </c>
      <c r="U36" s="164">
        <f>S16</f>
        <v>450</v>
      </c>
      <c r="V36" s="156"/>
      <c r="Y36" s="155"/>
      <c r="Z36" s="145">
        <v>1</v>
      </c>
      <c r="AA36" s="145">
        <v>2</v>
      </c>
      <c r="AB36" s="145">
        <v>3</v>
      </c>
      <c r="AC36" s="145">
        <v>4</v>
      </c>
      <c r="AD36" s="145">
        <v>5</v>
      </c>
      <c r="AE36" s="137"/>
      <c r="AF36" s="162">
        <v>1</v>
      </c>
      <c r="AG36" s="164">
        <f>AE16</f>
        <v>450</v>
      </c>
      <c r="AH36" s="156"/>
      <c r="AK36" s="155"/>
      <c r="AL36" s="145">
        <v>1</v>
      </c>
      <c r="AM36" s="145">
        <v>2</v>
      </c>
      <c r="AN36" s="145">
        <v>3</v>
      </c>
      <c r="AO36" s="145">
        <v>4</v>
      </c>
      <c r="AP36" s="145">
        <v>5</v>
      </c>
      <c r="AQ36" s="137"/>
      <c r="AR36" s="162">
        <v>1</v>
      </c>
      <c r="AS36" s="164">
        <f>AQ16</f>
        <v>436.5</v>
      </c>
      <c r="AT36" s="156"/>
    </row>
    <row r="37" spans="1:46" ht="15" x14ac:dyDescent="0.25">
      <c r="A37" s="155"/>
      <c r="B37" s="146">
        <f>B28</f>
        <v>2780</v>
      </c>
      <c r="C37" s="146">
        <f>B29</f>
        <v>4170</v>
      </c>
      <c r="D37" s="146">
        <f>B30</f>
        <v>5560</v>
      </c>
      <c r="E37" s="146">
        <f>B31</f>
        <v>5560</v>
      </c>
      <c r="F37" s="146">
        <f>B32</f>
        <v>5560</v>
      </c>
      <c r="G37" s="137"/>
      <c r="H37" s="162">
        <v>2</v>
      </c>
      <c r="I37" s="164">
        <f>G24</f>
        <v>850</v>
      </c>
      <c r="J37" s="156"/>
      <c r="K37" s="137"/>
      <c r="L37" s="137"/>
      <c r="M37" s="155"/>
      <c r="N37" s="146">
        <f>N28</f>
        <v>2529.8000000000002</v>
      </c>
      <c r="O37" s="146">
        <f>N29</f>
        <v>3794.7000000000003</v>
      </c>
      <c r="P37" s="146">
        <f>N30</f>
        <v>5059.6000000000004</v>
      </c>
      <c r="Q37" s="146">
        <f>N31</f>
        <v>5059.6000000000004</v>
      </c>
      <c r="R37" s="146">
        <f>N32</f>
        <v>5059.6000000000004</v>
      </c>
      <c r="S37" s="137"/>
      <c r="T37" s="162">
        <v>2</v>
      </c>
      <c r="U37" s="164">
        <f>S24</f>
        <v>850</v>
      </c>
      <c r="V37" s="156"/>
      <c r="Y37" s="155"/>
      <c r="Z37" s="162">
        <f>Z28</f>
        <v>3030.2000000000003</v>
      </c>
      <c r="AA37" s="162">
        <f>Z29</f>
        <v>4545.3</v>
      </c>
      <c r="AB37" s="162">
        <f>Z30</f>
        <v>6060.4000000000005</v>
      </c>
      <c r="AC37" s="162">
        <f>Z31</f>
        <v>6060.4000000000005</v>
      </c>
      <c r="AD37" s="162">
        <f>Z32</f>
        <v>6060.4000000000005</v>
      </c>
      <c r="AE37" s="137"/>
      <c r="AF37" s="162">
        <v>2</v>
      </c>
      <c r="AG37" s="164">
        <f>AE24</f>
        <v>850</v>
      </c>
      <c r="AH37" s="156"/>
      <c r="AK37" s="155"/>
      <c r="AL37" s="162">
        <f>AL28</f>
        <v>2780</v>
      </c>
      <c r="AM37" s="162">
        <f>AL29</f>
        <v>4170</v>
      </c>
      <c r="AN37" s="162">
        <f>AL30</f>
        <v>5560</v>
      </c>
      <c r="AO37" s="162">
        <f>AL31</f>
        <v>5560</v>
      </c>
      <c r="AP37" s="162">
        <f>AL32</f>
        <v>5560</v>
      </c>
      <c r="AQ37" s="137"/>
      <c r="AR37" s="162">
        <v>2</v>
      </c>
      <c r="AS37" s="164">
        <f>AQ24</f>
        <v>824.5</v>
      </c>
      <c r="AT37" s="165"/>
    </row>
    <row r="38" spans="1:46" ht="15" x14ac:dyDescent="0.25">
      <c r="A38" s="155"/>
      <c r="B38" s="137"/>
      <c r="C38" s="137"/>
      <c r="D38" s="137"/>
      <c r="E38" s="137"/>
      <c r="F38" s="137"/>
      <c r="G38" s="137"/>
      <c r="H38" s="162">
        <v>3</v>
      </c>
      <c r="I38" s="164">
        <f>G32</f>
        <v>900</v>
      </c>
      <c r="J38" s="156"/>
      <c r="K38" s="137"/>
      <c r="L38" s="137"/>
      <c r="M38" s="155"/>
      <c r="N38" s="137"/>
      <c r="O38" s="137"/>
      <c r="P38" s="137"/>
      <c r="Q38" s="137"/>
      <c r="R38" s="137"/>
      <c r="S38" s="137"/>
      <c r="T38" s="162">
        <v>3</v>
      </c>
      <c r="U38" s="164">
        <f>S32</f>
        <v>900</v>
      </c>
      <c r="V38" s="156"/>
      <c r="Y38" s="155"/>
      <c r="Z38" s="137"/>
      <c r="AA38" s="137"/>
      <c r="AB38" s="137"/>
      <c r="AC38" s="137"/>
      <c r="AD38" s="137"/>
      <c r="AE38" s="137"/>
      <c r="AF38" s="162">
        <v>3</v>
      </c>
      <c r="AG38" s="164">
        <f>AE32</f>
        <v>900</v>
      </c>
      <c r="AH38" s="156"/>
      <c r="AK38" s="155"/>
      <c r="AL38" s="137"/>
      <c r="AM38" s="137"/>
      <c r="AN38" s="137"/>
      <c r="AO38" s="137"/>
      <c r="AP38" s="137"/>
      <c r="AQ38" s="137"/>
      <c r="AR38" s="162">
        <v>3</v>
      </c>
      <c r="AS38" s="164">
        <f>AQ32</f>
        <v>873</v>
      </c>
      <c r="AT38" s="156"/>
    </row>
    <row r="39" spans="1:46" ht="15" x14ac:dyDescent="0.25">
      <c r="A39" s="155"/>
      <c r="B39" s="145">
        <v>1</v>
      </c>
      <c r="C39" s="145">
        <v>2</v>
      </c>
      <c r="D39" s="145">
        <v>3</v>
      </c>
      <c r="E39" s="145">
        <v>4</v>
      </c>
      <c r="F39" s="145">
        <v>5</v>
      </c>
      <c r="G39" s="137"/>
      <c r="H39" s="137"/>
      <c r="I39" s="137"/>
      <c r="J39" s="156"/>
      <c r="K39" s="137"/>
      <c r="L39" s="137"/>
      <c r="M39" s="155"/>
      <c r="N39" s="145">
        <v>1</v>
      </c>
      <c r="O39" s="145">
        <v>2</v>
      </c>
      <c r="P39" s="145">
        <v>3</v>
      </c>
      <c r="Q39" s="145">
        <v>4</v>
      </c>
      <c r="R39" s="145">
        <v>5</v>
      </c>
      <c r="S39" s="137"/>
      <c r="T39" s="137"/>
      <c r="U39" s="137"/>
      <c r="V39" s="156"/>
      <c r="Y39" s="155"/>
      <c r="Z39" s="145">
        <v>1</v>
      </c>
      <c r="AA39" s="145">
        <v>2</v>
      </c>
      <c r="AB39" s="145">
        <v>3</v>
      </c>
      <c r="AC39" s="145">
        <v>4</v>
      </c>
      <c r="AD39" s="145">
        <v>5</v>
      </c>
      <c r="AE39" s="137"/>
      <c r="AF39" s="137"/>
      <c r="AG39" s="137"/>
      <c r="AH39" s="156"/>
      <c r="AK39" s="155"/>
      <c r="AL39" s="145">
        <v>1</v>
      </c>
      <c r="AM39" s="145">
        <v>2</v>
      </c>
      <c r="AN39" s="145">
        <v>3</v>
      </c>
      <c r="AO39" s="145">
        <v>4</v>
      </c>
      <c r="AP39" s="145">
        <v>5</v>
      </c>
      <c r="AQ39" s="137"/>
      <c r="AR39" s="137"/>
      <c r="AS39" s="137"/>
      <c r="AT39" s="156"/>
    </row>
    <row r="40" spans="1:46" ht="15" x14ac:dyDescent="0.25">
      <c r="A40" s="155" t="s">
        <v>232</v>
      </c>
      <c r="B40" s="147">
        <f>I12+I20+I28</f>
        <v>26521200</v>
      </c>
      <c r="C40" s="147">
        <f>I13+I21+I29</f>
        <v>39781800</v>
      </c>
      <c r="D40" s="147">
        <f>I14+I22+I30</f>
        <v>53042400</v>
      </c>
      <c r="E40" s="147">
        <f>I15+I23+I31</f>
        <v>53042400</v>
      </c>
      <c r="F40" s="147">
        <f>I16+I24+I32</f>
        <v>53042400</v>
      </c>
      <c r="G40" s="137"/>
      <c r="H40" s="137"/>
      <c r="I40" s="137"/>
      <c r="J40" s="156"/>
      <c r="K40" s="137"/>
      <c r="L40" s="137"/>
      <c r="M40" s="155" t="s">
        <v>232</v>
      </c>
      <c r="N40" s="147">
        <f>U12+U20+U28</f>
        <v>24134292</v>
      </c>
      <c r="O40" s="147">
        <f>U13+U21+U29</f>
        <v>36201438</v>
      </c>
      <c r="P40" s="147">
        <f>U14+U22+U30</f>
        <v>48268584</v>
      </c>
      <c r="Q40" s="147">
        <f>U15+U23+U31</f>
        <v>48268584</v>
      </c>
      <c r="R40" s="147">
        <f>U16+U24+U32</f>
        <v>48268584</v>
      </c>
      <c r="S40" s="137"/>
      <c r="T40" s="137"/>
      <c r="U40" s="137"/>
      <c r="V40" s="156"/>
      <c r="Y40" s="155" t="s">
        <v>232</v>
      </c>
      <c r="Z40" s="147">
        <f>AG12+AG20+AG28</f>
        <v>28908108</v>
      </c>
      <c r="AA40" s="147">
        <f>AG13+AG21+AG29</f>
        <v>43362162.000000007</v>
      </c>
      <c r="AB40" s="147">
        <f>AG14+AG22+AG30</f>
        <v>57816216</v>
      </c>
      <c r="AC40" s="147">
        <f>AG15+AG23+AG31</f>
        <v>57816216</v>
      </c>
      <c r="AD40" s="147">
        <f>AG16+AG24+AG32</f>
        <v>57816216</v>
      </c>
      <c r="AE40" s="137"/>
      <c r="AF40" s="137"/>
      <c r="AG40" s="137"/>
      <c r="AH40" s="156"/>
      <c r="AK40" s="155" t="s">
        <v>232</v>
      </c>
      <c r="AL40" s="147">
        <f>AS12+AS20+AS28</f>
        <v>25725564</v>
      </c>
      <c r="AM40" s="147">
        <f>AS13+AS21+AS29</f>
        <v>38588346</v>
      </c>
      <c r="AN40" s="147">
        <f>AS14+AS22+AS30</f>
        <v>51451128</v>
      </c>
      <c r="AO40" s="147">
        <f>AS15+AS23+AS31</f>
        <v>51451128</v>
      </c>
      <c r="AP40" s="147">
        <f>AS16+AS24+AS32</f>
        <v>51451128</v>
      </c>
      <c r="AQ40" s="137"/>
      <c r="AR40" s="137"/>
      <c r="AS40" s="137"/>
      <c r="AT40" s="156"/>
    </row>
    <row r="41" spans="1:46" ht="15" x14ac:dyDescent="0.25">
      <c r="A41" s="155"/>
      <c r="B41" s="137"/>
      <c r="C41" s="137"/>
      <c r="D41" s="137"/>
      <c r="E41" s="137"/>
      <c r="F41" s="137"/>
      <c r="G41" s="137"/>
      <c r="H41" s="137"/>
      <c r="I41" s="137"/>
      <c r="J41" s="156"/>
      <c r="K41" s="137"/>
      <c r="L41" s="137"/>
      <c r="M41" s="155"/>
      <c r="N41" s="137"/>
      <c r="O41" s="137"/>
      <c r="P41" s="137"/>
      <c r="Q41" s="137"/>
      <c r="R41" s="137"/>
      <c r="S41" s="137"/>
      <c r="T41" s="137"/>
      <c r="U41" s="137"/>
      <c r="V41" s="156"/>
      <c r="Y41" s="155"/>
      <c r="Z41" s="137"/>
      <c r="AA41" s="137"/>
      <c r="AB41" s="137"/>
      <c r="AC41" s="137"/>
      <c r="AD41" s="137"/>
      <c r="AE41" s="137"/>
      <c r="AF41" s="137"/>
      <c r="AG41" s="137"/>
      <c r="AH41" s="156"/>
      <c r="AK41" s="155"/>
      <c r="AL41" s="137"/>
      <c r="AM41" s="137"/>
      <c r="AN41" s="137"/>
      <c r="AO41" s="137"/>
      <c r="AP41" s="137"/>
      <c r="AQ41" s="137"/>
      <c r="AR41" s="137"/>
      <c r="AS41" s="137"/>
      <c r="AT41" s="156"/>
    </row>
    <row r="42" spans="1:46" ht="15" x14ac:dyDescent="0.25">
      <c r="A42" s="155"/>
      <c r="B42" s="137"/>
      <c r="C42" s="145" t="s">
        <v>240</v>
      </c>
      <c r="D42" s="145" t="s">
        <v>241</v>
      </c>
      <c r="E42" s="139" t="s">
        <v>242</v>
      </c>
      <c r="F42" s="137"/>
      <c r="G42" s="137"/>
      <c r="H42" s="137"/>
      <c r="I42" s="137"/>
      <c r="J42" s="156"/>
      <c r="K42" s="137"/>
      <c r="L42" s="137"/>
      <c r="M42" s="155"/>
      <c r="N42" s="137"/>
      <c r="O42" s="145" t="s">
        <v>240</v>
      </c>
      <c r="P42" s="145" t="s">
        <v>241</v>
      </c>
      <c r="Q42" s="139" t="s">
        <v>242</v>
      </c>
      <c r="R42" s="137"/>
      <c r="S42" s="137"/>
      <c r="T42" s="137"/>
      <c r="U42" s="137"/>
      <c r="V42" s="156"/>
      <c r="Y42" s="155"/>
      <c r="Z42" s="137"/>
      <c r="AA42" s="145" t="s">
        <v>240</v>
      </c>
      <c r="AB42" s="145" t="s">
        <v>241</v>
      </c>
      <c r="AC42" s="139" t="s">
        <v>242</v>
      </c>
      <c r="AD42" s="137"/>
      <c r="AE42" s="137"/>
      <c r="AF42" s="137"/>
      <c r="AG42" s="137"/>
      <c r="AH42" s="156"/>
      <c r="AK42" s="155"/>
      <c r="AL42" s="137"/>
      <c r="AM42" s="145" t="s">
        <v>240</v>
      </c>
      <c r="AN42" s="145" t="s">
        <v>241</v>
      </c>
      <c r="AO42" s="139" t="s">
        <v>242</v>
      </c>
      <c r="AP42" s="137"/>
      <c r="AQ42" s="137"/>
      <c r="AR42" s="137"/>
      <c r="AS42" s="137"/>
      <c r="AT42" s="156"/>
    </row>
    <row r="43" spans="1:46" ht="15" x14ac:dyDescent="0.25">
      <c r="A43" s="155"/>
      <c r="B43" s="137"/>
      <c r="C43" s="146">
        <v>1</v>
      </c>
      <c r="D43" s="148">
        <f>SUM(I12:I16)</f>
        <v>19140300</v>
      </c>
      <c r="E43" s="149">
        <f>D43/SUM(D43:D45)</f>
        <v>8.4905660377358486E-2</v>
      </c>
      <c r="F43" s="137"/>
      <c r="G43" s="137"/>
      <c r="H43" s="137"/>
      <c r="I43" s="137"/>
      <c r="J43" s="156"/>
      <c r="K43" s="137"/>
      <c r="L43" s="137"/>
      <c r="M43" s="155"/>
      <c r="N43" s="137"/>
      <c r="O43" s="146">
        <v>1</v>
      </c>
      <c r="P43" s="148">
        <f>SUM(U12:U16)</f>
        <v>17417673</v>
      </c>
      <c r="Q43" s="149">
        <f>P43/SUM(P43:P45)</f>
        <v>8.4905660377358486E-2</v>
      </c>
      <c r="R43" s="137"/>
      <c r="S43" s="137"/>
      <c r="T43" s="137"/>
      <c r="U43" s="137"/>
      <c r="V43" s="156"/>
      <c r="Y43" s="155"/>
      <c r="Z43" s="137"/>
      <c r="AA43" s="146">
        <v>1</v>
      </c>
      <c r="AB43" s="148">
        <f>SUM(AG12:AG16)</f>
        <v>20862927</v>
      </c>
      <c r="AC43" s="149">
        <f>AB43/SUM(AB43:AB45)</f>
        <v>8.4905660377358486E-2</v>
      </c>
      <c r="AD43" s="137"/>
      <c r="AE43" s="137"/>
      <c r="AF43" s="137"/>
      <c r="AG43" s="137"/>
      <c r="AH43" s="156"/>
      <c r="AK43" s="155"/>
      <c r="AL43" s="137"/>
      <c r="AM43" s="146">
        <v>1</v>
      </c>
      <c r="AN43" s="148">
        <f>SUM(AS12:AS16)</f>
        <v>18566091</v>
      </c>
      <c r="AO43" s="149">
        <f>AN43/SUM(AN43:AN45)</f>
        <v>8.4905660377358486E-2</v>
      </c>
      <c r="AP43" s="137"/>
      <c r="AQ43" s="137"/>
      <c r="AR43" s="137"/>
      <c r="AS43" s="137"/>
      <c r="AT43" s="156"/>
    </row>
    <row r="44" spans="1:46" ht="15" x14ac:dyDescent="0.25">
      <c r="A44" s="155"/>
      <c r="B44" s="137"/>
      <c r="C44" s="146">
        <v>2</v>
      </c>
      <c r="D44" s="148">
        <f>SUM(I20:I24)</f>
        <v>180769500</v>
      </c>
      <c r="E44" s="149">
        <f>D44/SUM(D43:D45)</f>
        <v>0.80188679245283023</v>
      </c>
      <c r="F44" s="137"/>
      <c r="G44" s="137"/>
      <c r="H44" s="137"/>
      <c r="I44" s="137"/>
      <c r="J44" s="156"/>
      <c r="K44" s="137"/>
      <c r="L44" s="137"/>
      <c r="M44" s="155"/>
      <c r="N44" s="137"/>
      <c r="O44" s="146">
        <v>2</v>
      </c>
      <c r="P44" s="148">
        <f>SUM(U20:U24)</f>
        <v>164500245</v>
      </c>
      <c r="Q44" s="149">
        <f>P44/SUM(P43:P45)</f>
        <v>0.80188679245283023</v>
      </c>
      <c r="R44" s="137"/>
      <c r="S44" s="137"/>
      <c r="T44" s="137"/>
      <c r="U44" s="137"/>
      <c r="V44" s="156"/>
      <c r="Y44" s="155"/>
      <c r="Z44" s="137"/>
      <c r="AA44" s="146">
        <v>2</v>
      </c>
      <c r="AB44" s="148">
        <f>SUM(AG20:AG24)</f>
        <v>197038755</v>
      </c>
      <c r="AC44" s="149">
        <f>AB44/SUM(AB43:AB45)</f>
        <v>0.80188679245283023</v>
      </c>
      <c r="AD44" s="137"/>
      <c r="AE44" s="137"/>
      <c r="AF44" s="137"/>
      <c r="AG44" s="137"/>
      <c r="AH44" s="156"/>
      <c r="AK44" s="155"/>
      <c r="AL44" s="137"/>
      <c r="AM44" s="146">
        <v>2</v>
      </c>
      <c r="AN44" s="148">
        <f>SUM(AS20:AS24)</f>
        <v>175346415</v>
      </c>
      <c r="AO44" s="149">
        <f>AN44/SUM(AN43:AN45)</f>
        <v>0.80188679245283023</v>
      </c>
      <c r="AP44" s="137"/>
      <c r="AQ44" s="137"/>
      <c r="AR44" s="137"/>
      <c r="AS44" s="137"/>
      <c r="AT44" s="156"/>
    </row>
    <row r="45" spans="1:46" ht="15" x14ac:dyDescent="0.25">
      <c r="A45" s="155"/>
      <c r="B45" s="137"/>
      <c r="C45" s="146">
        <v>3</v>
      </c>
      <c r="D45" s="148">
        <f>SUM(I28:I32)</f>
        <v>25520400</v>
      </c>
      <c r="E45" s="149">
        <f>D45/SUM(D43:D45)</f>
        <v>0.11320754716981132</v>
      </c>
      <c r="F45" s="137"/>
      <c r="G45" s="137"/>
      <c r="H45" s="137"/>
      <c r="I45" s="137"/>
      <c r="J45" s="156"/>
      <c r="K45" s="137"/>
      <c r="L45" s="137"/>
      <c r="M45" s="155"/>
      <c r="N45" s="137"/>
      <c r="O45" s="146">
        <v>3</v>
      </c>
      <c r="P45" s="148">
        <f>SUM(U28:U32)</f>
        <v>23223564</v>
      </c>
      <c r="Q45" s="149">
        <f>P45/SUM(P43:P45)</f>
        <v>0.11320754716981132</v>
      </c>
      <c r="R45" s="137"/>
      <c r="S45" s="137"/>
      <c r="T45" s="137"/>
      <c r="U45" s="137"/>
      <c r="V45" s="156"/>
      <c r="Y45" s="155"/>
      <c r="Z45" s="137"/>
      <c r="AA45" s="146">
        <v>3</v>
      </c>
      <c r="AB45" s="148">
        <f>SUM(AG28:AG32)</f>
        <v>27817236.000000007</v>
      </c>
      <c r="AC45" s="149">
        <f>AB45/SUM(AB43:AB45)</f>
        <v>0.11320754716981135</v>
      </c>
      <c r="AD45" s="137"/>
      <c r="AE45" s="137"/>
      <c r="AF45" s="137"/>
      <c r="AG45" s="137"/>
      <c r="AH45" s="156"/>
      <c r="AK45" s="155"/>
      <c r="AL45" s="137"/>
      <c r="AM45" s="146">
        <v>3</v>
      </c>
      <c r="AN45" s="148">
        <f>SUM(AS28:AS32)</f>
        <v>24754788</v>
      </c>
      <c r="AO45" s="149">
        <f>AN45/SUM(AN43:AN45)</f>
        <v>0.11320754716981132</v>
      </c>
      <c r="AP45" s="137"/>
      <c r="AQ45" s="137"/>
      <c r="AR45" s="137"/>
      <c r="AS45" s="137"/>
      <c r="AT45" s="156"/>
    </row>
    <row r="46" spans="1:46" ht="15.75" thickBot="1" x14ac:dyDescent="0.3">
      <c r="A46" s="157"/>
      <c r="B46" s="158"/>
      <c r="C46" s="158"/>
      <c r="D46" s="158"/>
      <c r="E46" s="158"/>
      <c r="F46" s="158"/>
      <c r="G46" s="158"/>
      <c r="H46" s="158"/>
      <c r="I46" s="158"/>
      <c r="J46" s="159"/>
      <c r="K46" s="137"/>
      <c r="L46" s="137"/>
      <c r="M46" s="157"/>
      <c r="N46" s="158"/>
      <c r="O46" s="158"/>
      <c r="P46" s="158"/>
      <c r="Q46" s="158"/>
      <c r="R46" s="158"/>
      <c r="S46" s="158"/>
      <c r="T46" s="158"/>
      <c r="U46" s="158"/>
      <c r="V46" s="159"/>
      <c r="Y46" s="157"/>
      <c r="Z46" s="158"/>
      <c r="AA46" s="158"/>
      <c r="AB46" s="158"/>
      <c r="AC46" s="158"/>
      <c r="AD46" s="158"/>
      <c r="AE46" s="158"/>
      <c r="AF46" s="158"/>
      <c r="AG46" s="158"/>
      <c r="AH46" s="159"/>
      <c r="AK46" s="157"/>
      <c r="AL46" s="158"/>
      <c r="AM46" s="158"/>
      <c r="AN46" s="158"/>
      <c r="AO46" s="158"/>
      <c r="AP46" s="158"/>
      <c r="AQ46" s="158"/>
      <c r="AR46" s="158"/>
      <c r="AS46" s="158"/>
      <c r="AT46" s="159"/>
    </row>
  </sheetData>
  <mergeCells count="21">
    <mergeCell ref="AK8:AR8"/>
    <mergeCell ref="AK10:AR10"/>
    <mergeCell ref="AK18:AR18"/>
    <mergeCell ref="AK26:AR26"/>
    <mergeCell ref="AL35:AP35"/>
    <mergeCell ref="Y8:AF8"/>
    <mergeCell ref="Y10:AF10"/>
    <mergeCell ref="Y18:AF18"/>
    <mergeCell ref="Y26:AF26"/>
    <mergeCell ref="Z35:AD35"/>
    <mergeCell ref="M8:T8"/>
    <mergeCell ref="M10:T10"/>
    <mergeCell ref="M18:T18"/>
    <mergeCell ref="M26:T26"/>
    <mergeCell ref="N35:R35"/>
    <mergeCell ref="A10:H10"/>
    <mergeCell ref="A18:H18"/>
    <mergeCell ref="A26:H26"/>
    <mergeCell ref="A1:H1"/>
    <mergeCell ref="B35:F35"/>
    <mergeCell ref="A8:H8"/>
  </mergeCells>
  <pageMargins left="0.7" right="0.7" top="0.75" bottom="0.75" header="0.3" footer="0.3"/>
  <pageSetup orientation="portrait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5A07D-16DE-4E93-B67E-C98F6247F379}">
  <sheetPr codeName="Sheet11"/>
  <dimension ref="A2:U87"/>
  <sheetViews>
    <sheetView zoomScale="101" workbookViewId="0">
      <selection activeCell="N18" sqref="N18"/>
    </sheetView>
  </sheetViews>
  <sheetFormatPr defaultColWidth="8.7109375" defaultRowHeight="12.75" x14ac:dyDescent="0.2"/>
  <cols>
    <col min="1" max="1" width="12.5703125" style="1" bestFit="1" customWidth="1"/>
    <col min="2" max="3" width="11.5703125" style="1" customWidth="1"/>
    <col min="4" max="4" width="12.5703125" style="1" bestFit="1" customWidth="1"/>
    <col min="5" max="5" width="11.140625" style="1" bestFit="1" customWidth="1"/>
    <col min="6" max="6" width="11.140625" style="1" customWidth="1"/>
    <col min="7" max="7" width="19" style="1" bestFit="1" customWidth="1"/>
    <col min="8" max="8" width="14.85546875" style="1" bestFit="1" customWidth="1"/>
    <col min="9" max="9" width="18" style="1" bestFit="1" customWidth="1"/>
    <col min="10" max="10" width="19" style="1" bestFit="1" customWidth="1"/>
    <col min="11" max="11" width="11.140625" style="1" bestFit="1" customWidth="1"/>
    <col min="12" max="12" width="11.140625" style="1" customWidth="1"/>
    <col min="13" max="13" width="12.5703125" style="1" bestFit="1" customWidth="1"/>
    <col min="14" max="14" width="11.140625" style="1" bestFit="1" customWidth="1"/>
    <col min="15" max="15" width="11.140625" style="1" customWidth="1"/>
    <col min="16" max="16" width="13.85546875" style="1" bestFit="1" customWidth="1"/>
    <col min="17" max="17" width="11.140625" style="1" bestFit="1" customWidth="1"/>
    <col min="18" max="18" width="11.140625" style="1" customWidth="1"/>
    <col min="19" max="19" width="16.140625" style="1" bestFit="1" customWidth="1"/>
    <col min="20" max="20" width="11.140625" style="1" bestFit="1" customWidth="1"/>
    <col min="21" max="16384" width="8.7109375" style="1"/>
  </cols>
  <sheetData>
    <row r="2" spans="1:21" ht="15" customHeight="1" x14ac:dyDescent="0.25">
      <c r="A2" s="261" t="s">
        <v>130</v>
      </c>
      <c r="B2" s="261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  <c r="T2" s="261"/>
    </row>
    <row r="3" spans="1:21" ht="15" customHeight="1" x14ac:dyDescent="0.25">
      <c r="A3" s="261" t="s">
        <v>247</v>
      </c>
      <c r="B3" s="261"/>
      <c r="C3" s="261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1"/>
      <c r="T3" s="261"/>
    </row>
    <row r="4" spans="1:21" s="78" customFormat="1" ht="15" x14ac:dyDescent="0.2">
      <c r="A4" s="262" t="s">
        <v>193</v>
      </c>
      <c r="B4" s="262"/>
      <c r="C4" s="262"/>
      <c r="D4" s="262" t="s">
        <v>64</v>
      </c>
      <c r="E4" s="262"/>
      <c r="F4" s="262"/>
      <c r="G4" s="262" t="s">
        <v>194</v>
      </c>
      <c r="H4" s="262"/>
      <c r="I4" s="262"/>
      <c r="J4" s="262" t="s">
        <v>195</v>
      </c>
      <c r="K4" s="262"/>
      <c r="L4" s="262"/>
      <c r="M4" s="262" t="s">
        <v>32</v>
      </c>
      <c r="N4" s="262"/>
      <c r="O4" s="262"/>
      <c r="P4" s="262" t="s">
        <v>196</v>
      </c>
      <c r="Q4" s="262"/>
      <c r="R4" s="262"/>
      <c r="S4" s="262" t="s">
        <v>197</v>
      </c>
      <c r="T4" s="262"/>
      <c r="U4" s="262"/>
    </row>
    <row r="5" spans="1:21" ht="15" x14ac:dyDescent="0.25">
      <c r="A5" s="81" t="s">
        <v>131</v>
      </c>
      <c r="B5" s="80">
        <v>190000</v>
      </c>
      <c r="C5" s="80"/>
      <c r="D5" s="81" t="s">
        <v>134</v>
      </c>
      <c r="E5" s="82">
        <v>175000</v>
      </c>
      <c r="F5" s="82"/>
      <c r="G5" s="81" t="s">
        <v>137</v>
      </c>
      <c r="H5" s="82">
        <v>140000</v>
      </c>
      <c r="I5" s="82"/>
      <c r="J5" s="81" t="s">
        <v>139</v>
      </c>
      <c r="K5" s="82">
        <v>185000</v>
      </c>
      <c r="L5" s="82"/>
      <c r="M5" s="81" t="s">
        <v>198</v>
      </c>
      <c r="N5" s="82">
        <v>175000</v>
      </c>
      <c r="O5" s="82"/>
      <c r="P5" s="81" t="s">
        <v>199</v>
      </c>
      <c r="Q5" s="82">
        <v>185000</v>
      </c>
      <c r="R5" s="82"/>
      <c r="S5" s="81" t="s">
        <v>143</v>
      </c>
      <c r="T5" s="82">
        <v>175000</v>
      </c>
    </row>
    <row r="6" spans="1:21" ht="15" x14ac:dyDescent="0.25">
      <c r="B6" s="80"/>
      <c r="C6" s="80"/>
      <c r="D6" s="81" t="s">
        <v>200</v>
      </c>
      <c r="E6" s="82">
        <v>85000</v>
      </c>
      <c r="F6" s="82"/>
      <c r="G6" s="81" t="s">
        <v>201</v>
      </c>
      <c r="H6" s="82">
        <v>50000</v>
      </c>
      <c r="I6" s="82"/>
      <c r="J6" s="81" t="s">
        <v>202</v>
      </c>
      <c r="K6" s="82">
        <v>75000</v>
      </c>
      <c r="L6" s="82"/>
      <c r="M6" s="81" t="s">
        <v>203</v>
      </c>
      <c r="N6" s="82">
        <v>82500</v>
      </c>
      <c r="O6" s="82"/>
      <c r="P6" s="81" t="s">
        <v>204</v>
      </c>
      <c r="Q6" s="82">
        <v>100000</v>
      </c>
      <c r="R6" s="82"/>
      <c r="S6" s="81" t="s">
        <v>205</v>
      </c>
      <c r="T6" s="82">
        <v>60000</v>
      </c>
    </row>
    <row r="7" spans="1:21" ht="15" x14ac:dyDescent="0.25">
      <c r="B7" s="80"/>
      <c r="C7" s="80"/>
      <c r="D7" s="81" t="s">
        <v>206</v>
      </c>
      <c r="E7" s="82">
        <v>85000</v>
      </c>
      <c r="F7" s="82"/>
      <c r="G7" s="81" t="s">
        <v>207</v>
      </c>
      <c r="H7" s="82">
        <v>52000</v>
      </c>
      <c r="I7" s="82"/>
      <c r="J7" s="81" t="s">
        <v>208</v>
      </c>
      <c r="K7" s="82">
        <v>80000</v>
      </c>
      <c r="L7" s="82"/>
      <c r="M7" s="81" t="s">
        <v>209</v>
      </c>
      <c r="N7" s="82">
        <v>82500</v>
      </c>
      <c r="O7" s="82"/>
      <c r="P7" s="81" t="s">
        <v>210</v>
      </c>
      <c r="Q7" s="82">
        <v>95000</v>
      </c>
      <c r="R7" s="82"/>
      <c r="S7" s="81" t="s">
        <v>211</v>
      </c>
      <c r="T7" s="82">
        <v>60000</v>
      </c>
    </row>
    <row r="8" spans="1:21" ht="15" x14ac:dyDescent="0.25">
      <c r="B8" s="80"/>
      <c r="C8" s="80"/>
      <c r="D8" s="81" t="s">
        <v>212</v>
      </c>
      <c r="E8" s="82">
        <v>65000</v>
      </c>
      <c r="F8" s="82"/>
      <c r="G8" s="83"/>
      <c r="H8" s="83"/>
      <c r="I8" s="83"/>
      <c r="J8" s="83"/>
      <c r="K8" s="83"/>
      <c r="L8" s="83"/>
      <c r="M8" s="81" t="s">
        <v>213</v>
      </c>
      <c r="N8" s="82">
        <v>82500</v>
      </c>
      <c r="O8" s="82"/>
      <c r="P8" s="81" t="s">
        <v>140</v>
      </c>
      <c r="Q8" s="82">
        <v>90000</v>
      </c>
      <c r="R8" s="82"/>
      <c r="S8" s="83"/>
      <c r="T8" s="83"/>
    </row>
    <row r="9" spans="1:21" ht="15" x14ac:dyDescent="0.25">
      <c r="B9" s="80"/>
      <c r="C9" s="80"/>
      <c r="D9" s="83"/>
      <c r="E9" s="83"/>
      <c r="F9" s="83"/>
      <c r="G9" s="83"/>
      <c r="H9" s="83"/>
      <c r="I9" s="83"/>
      <c r="J9" s="83"/>
      <c r="K9" s="83"/>
      <c r="L9" s="83"/>
      <c r="M9" s="81" t="s">
        <v>214</v>
      </c>
      <c r="N9" s="82">
        <v>82500</v>
      </c>
      <c r="O9" s="82"/>
      <c r="P9" s="81" t="s">
        <v>215</v>
      </c>
      <c r="Q9" s="82">
        <v>75000</v>
      </c>
      <c r="R9" s="82"/>
      <c r="S9" s="83"/>
      <c r="T9" s="83"/>
    </row>
    <row r="10" spans="1:21" ht="15" x14ac:dyDescent="0.25">
      <c r="B10" s="80"/>
      <c r="C10" s="80"/>
      <c r="D10" s="83"/>
      <c r="E10" s="83"/>
      <c r="F10" s="83"/>
      <c r="G10" s="83"/>
      <c r="H10" s="83"/>
      <c r="I10" s="83"/>
      <c r="J10" s="83"/>
      <c r="K10" s="83"/>
      <c r="L10" s="83"/>
      <c r="M10" s="81" t="s">
        <v>216</v>
      </c>
      <c r="N10" s="82">
        <v>82500</v>
      </c>
      <c r="O10" s="82"/>
      <c r="P10" s="81" t="s">
        <v>359</v>
      </c>
      <c r="Q10" s="82">
        <v>75000</v>
      </c>
      <c r="R10" s="82"/>
      <c r="S10" s="83"/>
      <c r="T10" s="83"/>
    </row>
    <row r="11" spans="1:21" x14ac:dyDescent="0.2">
      <c r="A11" s="1" t="s">
        <v>217</v>
      </c>
      <c r="B11" s="80">
        <f>SUM(B5:B10)</f>
        <v>190000</v>
      </c>
      <c r="C11" s="80"/>
      <c r="D11" s="1" t="s">
        <v>217</v>
      </c>
      <c r="E11" s="80">
        <f>SUM(E5:E10)</f>
        <v>410000</v>
      </c>
      <c r="F11" s="80"/>
      <c r="G11" s="1" t="s">
        <v>217</v>
      </c>
      <c r="H11" s="80">
        <f>SUM(H5:H10)</f>
        <v>242000</v>
      </c>
      <c r="I11" s="80"/>
      <c r="J11" s="1" t="s">
        <v>217</v>
      </c>
      <c r="K11" s="80">
        <f>SUM(K5:K10)</f>
        <v>340000</v>
      </c>
      <c r="L11" s="80"/>
      <c r="M11" s="1" t="s">
        <v>217</v>
      </c>
      <c r="N11" s="80">
        <f>SUM(N5:N10)</f>
        <v>587500</v>
      </c>
      <c r="O11" s="80"/>
      <c r="P11" s="1" t="s">
        <v>217</v>
      </c>
      <c r="Q11" s="80">
        <f>SUM(Q5:Q10)</f>
        <v>620000</v>
      </c>
      <c r="R11" s="80"/>
      <c r="S11" s="1" t="s">
        <v>217</v>
      </c>
      <c r="T11" s="80">
        <f>SUM(T5:T10)</f>
        <v>295000</v>
      </c>
    </row>
    <row r="12" spans="1:21" x14ac:dyDescent="0.2">
      <c r="A12" s="1" t="s">
        <v>218</v>
      </c>
      <c r="B12" s="132">
        <f>COUNTIF(A5:A10,"*")</f>
        <v>1</v>
      </c>
      <c r="C12" s="80"/>
      <c r="D12" s="1" t="s">
        <v>218</v>
      </c>
      <c r="E12" s="132">
        <f>COUNTIF(D5:D10,"*")</f>
        <v>4</v>
      </c>
      <c r="F12" s="80"/>
      <c r="G12" s="1" t="s">
        <v>218</v>
      </c>
      <c r="H12" s="132">
        <f>COUNTIF(G5:G10,"*")</f>
        <v>3</v>
      </c>
      <c r="I12" s="80"/>
      <c r="J12" s="1" t="s">
        <v>218</v>
      </c>
      <c r="K12" s="132">
        <f>COUNTIF(J5:J10,"*")</f>
        <v>3</v>
      </c>
      <c r="L12" s="80"/>
      <c r="M12" s="1" t="s">
        <v>218</v>
      </c>
      <c r="N12" s="132">
        <f>COUNTIF(M5:M10,"*")</f>
        <v>6</v>
      </c>
      <c r="O12" s="80"/>
      <c r="P12" s="1" t="s">
        <v>218</v>
      </c>
      <c r="Q12" s="132">
        <f>COUNTIF(P5:P10,"*")</f>
        <v>6</v>
      </c>
      <c r="R12" s="80"/>
      <c r="S12" s="1" t="s">
        <v>218</v>
      </c>
      <c r="T12" s="132">
        <f>COUNTIF(S5:S10,"*")</f>
        <v>3</v>
      </c>
    </row>
    <row r="13" spans="1:21" x14ac:dyDescent="0.2">
      <c r="B13" s="80"/>
      <c r="C13" s="80"/>
      <c r="E13" s="80"/>
      <c r="F13" s="80"/>
      <c r="H13" s="80"/>
      <c r="I13" s="80"/>
      <c r="K13" s="80"/>
      <c r="L13" s="80"/>
      <c r="N13" s="80"/>
      <c r="O13" s="80"/>
      <c r="Q13" s="80"/>
      <c r="R13" s="80"/>
      <c r="T13" s="80"/>
    </row>
    <row r="14" spans="1:21" x14ac:dyDescent="0.2">
      <c r="C14" s="80"/>
      <c r="E14" s="80"/>
      <c r="F14" s="80"/>
      <c r="H14" s="80"/>
      <c r="K14" s="80"/>
      <c r="L14" s="80"/>
      <c r="N14" s="80"/>
      <c r="O14" s="80"/>
      <c r="Q14" s="80"/>
      <c r="R14" s="80"/>
      <c r="T14" s="80"/>
    </row>
    <row r="15" spans="1:21" x14ac:dyDescent="0.2">
      <c r="B15" s="80"/>
      <c r="C15" s="80"/>
      <c r="E15" s="80"/>
      <c r="F15" s="80"/>
      <c r="H15" s="80"/>
      <c r="I15" s="126" t="s">
        <v>219</v>
      </c>
      <c r="J15" s="127">
        <f>SUM(B11,E11,H11,K11,N11,Q11,T11)</f>
        <v>2684500</v>
      </c>
      <c r="K15" s="80"/>
      <c r="L15" s="80"/>
      <c r="N15" s="80"/>
      <c r="O15" s="80"/>
      <c r="Q15" s="80"/>
      <c r="R15" s="80"/>
      <c r="T15" s="80"/>
    </row>
    <row r="16" spans="1:21" x14ac:dyDescent="0.2">
      <c r="B16" s="80"/>
      <c r="C16" s="80"/>
      <c r="E16" s="80"/>
      <c r="F16" s="80"/>
      <c r="H16" s="80"/>
      <c r="I16" s="80" t="s">
        <v>220</v>
      </c>
      <c r="J16" s="132">
        <f>SUM(B12,E12,H12,K12,N12,Q12,T12)</f>
        <v>26</v>
      </c>
      <c r="K16" s="80"/>
      <c r="L16" s="80"/>
      <c r="N16" s="80"/>
      <c r="O16" s="80"/>
      <c r="Q16" s="80"/>
      <c r="R16" s="80"/>
      <c r="T16" s="80"/>
    </row>
    <row r="17" spans="1:21" x14ac:dyDescent="0.2">
      <c r="B17" s="80"/>
      <c r="C17" s="80"/>
      <c r="E17" s="80"/>
      <c r="F17" s="80"/>
      <c r="H17" s="80"/>
      <c r="I17" s="80"/>
      <c r="K17" s="80"/>
      <c r="L17" s="80"/>
      <c r="N17" s="80"/>
      <c r="O17" s="80"/>
      <c r="Q17" s="80"/>
      <c r="R17" s="80"/>
      <c r="T17" s="80"/>
    </row>
    <row r="18" spans="1:21" x14ac:dyDescent="0.2">
      <c r="T18" s="80"/>
    </row>
    <row r="19" spans="1:21" x14ac:dyDescent="0.2">
      <c r="I19" s="235" t="s">
        <v>357</v>
      </c>
      <c r="J19" s="236">
        <v>3.0949999999999998E-2</v>
      </c>
      <c r="T19" s="80"/>
    </row>
    <row r="20" spans="1:21" x14ac:dyDescent="0.2">
      <c r="I20" s="235" t="s">
        <v>358</v>
      </c>
      <c r="J20" s="236">
        <v>1.03095</v>
      </c>
      <c r="T20" s="80"/>
    </row>
    <row r="21" spans="1:21" x14ac:dyDescent="0.2">
      <c r="T21" s="80"/>
    </row>
    <row r="22" spans="1:21" ht="14.45" customHeight="1" x14ac:dyDescent="0.25">
      <c r="A22" s="261" t="s">
        <v>248</v>
      </c>
      <c r="B22" s="261"/>
      <c r="C22" s="261"/>
      <c r="D22" s="261"/>
      <c r="E22" s="261"/>
      <c r="F22" s="261"/>
      <c r="G22" s="261"/>
      <c r="H22" s="261"/>
      <c r="I22" s="261"/>
      <c r="J22" s="261"/>
      <c r="K22" s="261"/>
      <c r="L22" s="261"/>
      <c r="M22" s="261"/>
      <c r="N22" s="261"/>
      <c r="O22" s="261"/>
      <c r="P22" s="261"/>
      <c r="Q22" s="261"/>
      <c r="R22" s="261"/>
      <c r="S22" s="261"/>
      <c r="T22" s="261"/>
    </row>
    <row r="23" spans="1:21" ht="15" x14ac:dyDescent="0.2">
      <c r="A23" s="262" t="s">
        <v>193</v>
      </c>
      <c r="B23" s="262"/>
      <c r="C23" s="262"/>
      <c r="D23" s="262" t="s">
        <v>64</v>
      </c>
      <c r="E23" s="262"/>
      <c r="F23" s="262"/>
      <c r="G23" s="262" t="s">
        <v>194</v>
      </c>
      <c r="H23" s="262"/>
      <c r="I23" s="262"/>
      <c r="J23" s="262" t="s">
        <v>195</v>
      </c>
      <c r="K23" s="262"/>
      <c r="L23" s="262"/>
      <c r="M23" s="262" t="s">
        <v>32</v>
      </c>
      <c r="N23" s="262"/>
      <c r="O23" s="262"/>
      <c r="P23" s="262" t="s">
        <v>196</v>
      </c>
      <c r="Q23" s="262"/>
      <c r="R23" s="262"/>
      <c r="S23" s="262" t="s">
        <v>197</v>
      </c>
      <c r="T23" s="262"/>
      <c r="U23" s="262"/>
    </row>
    <row r="24" spans="1:21" ht="14.45" customHeight="1" x14ac:dyDescent="0.25">
      <c r="A24" s="81" t="s">
        <v>131</v>
      </c>
      <c r="B24" s="237">
        <f>ROUNDUP(((B5*$J$20)+(B5*($J$20^2))+(B5*($J$20^3)))/3,-2)</f>
        <v>202100</v>
      </c>
      <c r="C24" s="80"/>
      <c r="D24" s="81" t="s">
        <v>134</v>
      </c>
      <c r="E24" s="237">
        <f>ROUNDUP(((E5*$J$20)+(E5*($J$20^2))+(E5*($J$20^3)))/3,-2)</f>
        <v>186100</v>
      </c>
      <c r="F24" s="82"/>
      <c r="G24" s="81" t="s">
        <v>137</v>
      </c>
      <c r="H24" s="238">
        <f t="shared" ref="H24:H26" si="0">ROUNDUP(((H5*$J$20)+(H5*($J$20^2))+(H5*($J$20^3)))/3,-2)</f>
        <v>148900</v>
      </c>
      <c r="I24" s="82"/>
      <c r="J24" s="81" t="s">
        <v>139</v>
      </c>
      <c r="K24" s="238">
        <f t="shared" ref="K24:K26" si="1">ROUNDUP(((K5*$J$20)+(K5*($J$20^2))+(K5*($J$20^3)))/3,-2)</f>
        <v>196700</v>
      </c>
      <c r="L24" s="82"/>
      <c r="M24" s="81" t="s">
        <v>198</v>
      </c>
      <c r="N24" s="238">
        <f t="shared" ref="N24:N29" si="2">ROUNDUP(((N5*$J$20)+(N5*($J$20^2))+(N5*($J$20^3)))/3,-2)</f>
        <v>186100</v>
      </c>
      <c r="O24" s="82"/>
      <c r="P24" s="81" t="s">
        <v>199</v>
      </c>
      <c r="Q24" s="238">
        <f t="shared" ref="Q24:Q29" si="3">ROUNDUP(((Q5*$J$20)+(Q5*($J$20^2))+(Q5*($J$20^3)))/3,-2)</f>
        <v>196700</v>
      </c>
      <c r="R24" s="82"/>
      <c r="S24" s="81" t="s">
        <v>143</v>
      </c>
      <c r="T24" s="238">
        <f t="shared" ref="T24:T26" si="4">ROUNDUP(((T5*$J$20)+(T5*($J$20^2))+(T5*($J$20^3)))/3,-2)</f>
        <v>186100</v>
      </c>
    </row>
    <row r="25" spans="1:21" ht="14.45" customHeight="1" x14ac:dyDescent="0.25">
      <c r="B25" s="80"/>
      <c r="C25" s="80"/>
      <c r="D25" s="81" t="s">
        <v>200</v>
      </c>
      <c r="E25" s="237">
        <f>ROUNDUP(((E6*$J$20)+(E6*($J$20^2))+(E6*($J$20^3)))/3,-2)</f>
        <v>90400</v>
      </c>
      <c r="F25" s="82"/>
      <c r="G25" s="81" t="s">
        <v>201</v>
      </c>
      <c r="H25" s="238">
        <f t="shared" si="0"/>
        <v>53200</v>
      </c>
      <c r="I25" s="82"/>
      <c r="J25" s="81" t="s">
        <v>202</v>
      </c>
      <c r="K25" s="238">
        <f t="shared" si="1"/>
        <v>79800</v>
      </c>
      <c r="L25" s="82"/>
      <c r="M25" s="81" t="s">
        <v>203</v>
      </c>
      <c r="N25" s="238">
        <f t="shared" si="2"/>
        <v>87800</v>
      </c>
      <c r="O25" s="82"/>
      <c r="P25" s="81" t="s">
        <v>204</v>
      </c>
      <c r="Q25" s="238">
        <f t="shared" si="3"/>
        <v>106400</v>
      </c>
      <c r="R25" s="82"/>
      <c r="S25" s="81" t="s">
        <v>205</v>
      </c>
      <c r="T25" s="238">
        <f t="shared" si="4"/>
        <v>63800</v>
      </c>
    </row>
    <row r="26" spans="1:21" ht="14.45" customHeight="1" x14ac:dyDescent="0.25">
      <c r="B26" s="80"/>
      <c r="C26" s="80"/>
      <c r="D26" s="81" t="s">
        <v>206</v>
      </c>
      <c r="E26" s="237">
        <f>ROUNDUP(((E7*$J$20)+(E7*($J$20^2))+(E7*($J$20^3)))/3,-2)</f>
        <v>90400</v>
      </c>
      <c r="F26" s="82"/>
      <c r="G26" s="81" t="s">
        <v>207</v>
      </c>
      <c r="H26" s="238">
        <f t="shared" si="0"/>
        <v>55300</v>
      </c>
      <c r="I26" s="82"/>
      <c r="J26" s="81" t="s">
        <v>208</v>
      </c>
      <c r="K26" s="238">
        <f t="shared" si="1"/>
        <v>85100</v>
      </c>
      <c r="L26" s="82"/>
      <c r="M26" s="81" t="s">
        <v>209</v>
      </c>
      <c r="N26" s="238">
        <f t="shared" si="2"/>
        <v>87800</v>
      </c>
      <c r="O26" s="82"/>
      <c r="P26" s="81" t="s">
        <v>210</v>
      </c>
      <c r="Q26" s="238">
        <f t="shared" si="3"/>
        <v>101100</v>
      </c>
      <c r="R26" s="82"/>
      <c r="S26" s="81" t="s">
        <v>211</v>
      </c>
      <c r="T26" s="238">
        <f t="shared" si="4"/>
        <v>63800</v>
      </c>
    </row>
    <row r="27" spans="1:21" ht="12.95" customHeight="1" x14ac:dyDescent="0.25">
      <c r="B27" s="80"/>
      <c r="C27" s="80"/>
      <c r="D27" s="81" t="s">
        <v>212</v>
      </c>
      <c r="E27" s="237">
        <f t="shared" ref="E27" si="5">ROUNDUP(((E8*$J$20)+(E8*($J$20^2))+(E8*($J$20^3)))/3,-2)</f>
        <v>69200</v>
      </c>
      <c r="F27" s="82"/>
      <c r="G27" s="81" t="s">
        <v>252</v>
      </c>
      <c r="H27" s="238">
        <f>ROUNDUP(((55000*$J$20)+(55000*($J$20^2))+(55000*($J$20^3)))/3,-2)</f>
        <v>58500</v>
      </c>
      <c r="I27" s="83"/>
      <c r="J27" s="83"/>
      <c r="K27" s="83"/>
      <c r="L27" s="83"/>
      <c r="M27" s="81" t="s">
        <v>213</v>
      </c>
      <c r="N27" s="238">
        <f t="shared" si="2"/>
        <v>87800</v>
      </c>
      <c r="O27" s="82"/>
      <c r="P27" s="81" t="s">
        <v>140</v>
      </c>
      <c r="Q27" s="238">
        <f t="shared" si="3"/>
        <v>95700</v>
      </c>
      <c r="R27" s="82"/>
      <c r="S27" s="81" t="s">
        <v>251</v>
      </c>
      <c r="T27" s="238">
        <f>ROUNDUP(((60000*$J$20)+(60000*($J$20^2))+(60000*($J$20^3)))/3,-2)</f>
        <v>63800</v>
      </c>
    </row>
    <row r="28" spans="1:21" ht="12.95" customHeight="1" x14ac:dyDescent="0.25">
      <c r="B28" s="80"/>
      <c r="C28" s="80"/>
      <c r="D28" s="83"/>
      <c r="E28" s="83"/>
      <c r="F28" s="83"/>
      <c r="G28" s="83"/>
      <c r="H28" s="83"/>
      <c r="I28" s="83"/>
      <c r="J28" s="83"/>
      <c r="K28" s="83"/>
      <c r="L28" s="83"/>
      <c r="M28" s="81" t="s">
        <v>214</v>
      </c>
      <c r="N28" s="238">
        <f t="shared" si="2"/>
        <v>87800</v>
      </c>
      <c r="O28" s="82"/>
      <c r="P28" s="81" t="s">
        <v>215</v>
      </c>
      <c r="Q28" s="238">
        <f t="shared" si="3"/>
        <v>79800</v>
      </c>
      <c r="R28" s="82"/>
      <c r="S28" s="83"/>
      <c r="T28" s="83"/>
    </row>
    <row r="29" spans="1:21" ht="12.95" customHeight="1" x14ac:dyDescent="0.25">
      <c r="B29" s="80"/>
      <c r="C29" s="80"/>
      <c r="D29" s="83"/>
      <c r="E29" s="83"/>
      <c r="F29" s="83"/>
      <c r="G29" s="83"/>
      <c r="H29" s="83"/>
      <c r="I29" s="83"/>
      <c r="J29" s="83"/>
      <c r="K29" s="83"/>
      <c r="L29" s="83"/>
      <c r="M29" s="81" t="s">
        <v>216</v>
      </c>
      <c r="N29" s="238">
        <f t="shared" si="2"/>
        <v>87800</v>
      </c>
      <c r="O29" s="82"/>
      <c r="P29" s="81" t="s">
        <v>359</v>
      </c>
      <c r="Q29" s="238">
        <f t="shared" si="3"/>
        <v>79800</v>
      </c>
      <c r="R29" s="82"/>
      <c r="S29" s="83"/>
      <c r="T29" s="83"/>
    </row>
    <row r="30" spans="1:21" ht="12.95" customHeight="1" x14ac:dyDescent="0.25">
      <c r="B30" s="80"/>
      <c r="C30" s="80"/>
      <c r="D30" s="83"/>
      <c r="E30" s="83"/>
      <c r="F30" s="83"/>
      <c r="G30" s="83"/>
      <c r="H30" s="83"/>
      <c r="I30" s="83"/>
      <c r="J30" s="83"/>
      <c r="K30" s="83"/>
      <c r="L30" s="83"/>
      <c r="M30" s="81" t="s">
        <v>249</v>
      </c>
      <c r="N30" s="82">
        <f>25000</f>
        <v>25000</v>
      </c>
      <c r="O30" s="82"/>
      <c r="P30" s="81" t="s">
        <v>250</v>
      </c>
      <c r="Q30" s="238">
        <f>ROUNDUP(((60000*$J$20)+(60000*($J$20^2))+(60000*($J$20^3)))/3,-2)</f>
        <v>63800</v>
      </c>
      <c r="R30" s="82"/>
      <c r="S30" s="83"/>
      <c r="T30" s="83"/>
    </row>
    <row r="31" spans="1:21" ht="12.95" customHeight="1" x14ac:dyDescent="0.25">
      <c r="B31" s="80"/>
      <c r="C31" s="80"/>
      <c r="D31" s="83"/>
      <c r="E31" s="83"/>
      <c r="F31" s="83"/>
      <c r="G31" s="83"/>
      <c r="H31" s="83"/>
      <c r="I31" s="83"/>
      <c r="J31" s="83"/>
      <c r="K31" s="83"/>
      <c r="L31" s="83"/>
      <c r="M31" s="81" t="s">
        <v>249</v>
      </c>
      <c r="N31" s="82">
        <f>25000</f>
        <v>25000</v>
      </c>
      <c r="O31" s="82"/>
      <c r="P31" s="81"/>
      <c r="Q31" s="82"/>
      <c r="R31" s="82"/>
      <c r="S31" s="83"/>
      <c r="T31" s="83"/>
    </row>
    <row r="32" spans="1:21" x14ac:dyDescent="0.2">
      <c r="A32" s="1" t="s">
        <v>217</v>
      </c>
      <c r="B32" s="80">
        <f>SUM(B24:B29)</f>
        <v>202100</v>
      </c>
      <c r="C32" s="80"/>
      <c r="D32" s="1" t="s">
        <v>217</v>
      </c>
      <c r="E32" s="80">
        <f>SUM(E24:E29)</f>
        <v>436100</v>
      </c>
      <c r="F32" s="80"/>
      <c r="G32" s="1" t="s">
        <v>217</v>
      </c>
      <c r="H32" s="80">
        <f>SUM(H24:H29)</f>
        <v>315900</v>
      </c>
      <c r="I32" s="80"/>
      <c r="J32" s="1" t="s">
        <v>217</v>
      </c>
      <c r="K32" s="80">
        <f>SUM(K24:K29)</f>
        <v>361600</v>
      </c>
      <c r="L32" s="80"/>
      <c r="M32" s="1" t="s">
        <v>217</v>
      </c>
      <c r="N32" s="80">
        <f>SUM(N24:N31)</f>
        <v>675100</v>
      </c>
      <c r="O32" s="80"/>
      <c r="P32" s="1" t="s">
        <v>217</v>
      </c>
      <c r="Q32" s="80">
        <f>SUM(Q24:Q30)</f>
        <v>723300</v>
      </c>
      <c r="R32" s="80"/>
      <c r="S32" s="1" t="s">
        <v>217</v>
      </c>
      <c r="T32" s="80">
        <f>SUM(T24:T29)</f>
        <v>377500</v>
      </c>
    </row>
    <row r="33" spans="1:20" x14ac:dyDescent="0.2">
      <c r="A33" s="1" t="s">
        <v>218</v>
      </c>
      <c r="B33" s="132">
        <f>COUNTIF(A24:A31,"*")</f>
        <v>1</v>
      </c>
      <c r="C33" s="80"/>
      <c r="D33" s="1" t="s">
        <v>218</v>
      </c>
      <c r="E33" s="132">
        <f>COUNTIF(D24:D31,"*")</f>
        <v>4</v>
      </c>
      <c r="F33" s="80"/>
      <c r="G33" s="1" t="s">
        <v>218</v>
      </c>
      <c r="H33" s="132">
        <f>COUNTIF(G24:G31,"*")</f>
        <v>4</v>
      </c>
      <c r="I33" s="80"/>
      <c r="J33" s="1" t="s">
        <v>218</v>
      </c>
      <c r="K33" s="132">
        <f>COUNTIF(J24:J31,"*")</f>
        <v>3</v>
      </c>
      <c r="L33" s="80"/>
      <c r="M33" s="1" t="s">
        <v>218</v>
      </c>
      <c r="N33" s="132">
        <f>COUNTIF(M24:M31,"*")</f>
        <v>8</v>
      </c>
      <c r="O33" s="80"/>
      <c r="P33" s="1" t="s">
        <v>218</v>
      </c>
      <c r="Q33" s="132">
        <f>COUNTIF(P24:P31,"*")</f>
        <v>7</v>
      </c>
      <c r="R33" s="80"/>
      <c r="S33" s="1" t="s">
        <v>218</v>
      </c>
      <c r="T33" s="132">
        <f>COUNTIF(S24:S31,"*")</f>
        <v>4</v>
      </c>
    </row>
    <row r="34" spans="1:20" x14ac:dyDescent="0.2">
      <c r="B34" s="80"/>
      <c r="C34" s="80"/>
      <c r="E34" s="80"/>
      <c r="F34" s="80"/>
      <c r="H34" s="80"/>
      <c r="I34" s="80"/>
      <c r="K34" s="80"/>
      <c r="L34" s="80"/>
      <c r="N34" s="80"/>
      <c r="O34" s="80"/>
      <c r="Q34" s="80"/>
      <c r="R34" s="80"/>
      <c r="T34" s="80"/>
    </row>
    <row r="35" spans="1:20" ht="14.45" customHeight="1" x14ac:dyDescent="0.2">
      <c r="C35" s="80"/>
      <c r="E35" s="80"/>
      <c r="F35" s="80"/>
      <c r="H35" s="80"/>
      <c r="K35" s="80"/>
      <c r="L35" s="80"/>
      <c r="N35" s="80"/>
      <c r="O35" s="80"/>
      <c r="Q35" s="80"/>
      <c r="R35" s="80"/>
      <c r="T35" s="80"/>
    </row>
    <row r="36" spans="1:20" ht="14.45" customHeight="1" x14ac:dyDescent="0.2">
      <c r="B36" s="80"/>
      <c r="C36" s="80"/>
      <c r="E36" s="80"/>
      <c r="F36" s="80"/>
      <c r="H36" s="80"/>
      <c r="I36" s="126" t="s">
        <v>219</v>
      </c>
      <c r="J36" s="127">
        <f>SUM(B32,E32,H32,K32,N32,Q32,T32)</f>
        <v>3091600</v>
      </c>
      <c r="K36" s="80"/>
      <c r="L36" s="80"/>
      <c r="N36" s="80"/>
      <c r="O36" s="80"/>
      <c r="Q36" s="80"/>
      <c r="R36" s="80"/>
      <c r="T36" s="80"/>
    </row>
    <row r="37" spans="1:20" ht="12.95" customHeight="1" x14ac:dyDescent="0.2">
      <c r="B37" s="80"/>
      <c r="C37" s="80"/>
      <c r="E37" s="80"/>
      <c r="F37" s="80"/>
      <c r="H37" s="80"/>
      <c r="I37" s="80" t="s">
        <v>220</v>
      </c>
      <c r="J37" s="132">
        <f>SUM(B33,E33,H33,K33,N33,Q33,T33)</f>
        <v>31</v>
      </c>
      <c r="K37" s="80"/>
      <c r="L37" s="80"/>
      <c r="N37" s="80"/>
      <c r="O37" s="80"/>
      <c r="Q37" s="80"/>
      <c r="R37" s="80"/>
      <c r="T37" s="80"/>
    </row>
    <row r="38" spans="1:20" ht="12.95" customHeight="1" x14ac:dyDescent="0.2"/>
    <row r="39" spans="1:20" ht="12.95" customHeight="1" x14ac:dyDescent="0.2"/>
    <row r="40" spans="1:20" ht="12.95" customHeight="1" x14ac:dyDescent="0.2"/>
    <row r="46" spans="1:20" ht="12.95" customHeight="1" x14ac:dyDescent="0.2"/>
    <row r="47" spans="1:20" ht="12.95" customHeight="1" x14ac:dyDescent="0.2"/>
    <row r="48" spans="1:20" ht="12.95" customHeight="1" x14ac:dyDescent="0.2"/>
    <row r="49" ht="12.95" customHeight="1" x14ac:dyDescent="0.2"/>
    <row r="50" ht="12.95" customHeight="1" x14ac:dyDescent="0.2"/>
    <row r="58" ht="12.95" customHeight="1" x14ac:dyDescent="0.2"/>
    <row r="59" ht="12.95" customHeight="1" x14ac:dyDescent="0.2"/>
    <row r="67" ht="12.95" customHeight="1" x14ac:dyDescent="0.2"/>
    <row r="68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</sheetData>
  <mergeCells count="17">
    <mergeCell ref="A22:T22"/>
    <mergeCell ref="A23:C23"/>
    <mergeCell ref="D23:F23"/>
    <mergeCell ref="G23:I23"/>
    <mergeCell ref="J23:L23"/>
    <mergeCell ref="M23:O23"/>
    <mergeCell ref="P23:R23"/>
    <mergeCell ref="S23:U23"/>
    <mergeCell ref="A2:T2"/>
    <mergeCell ref="A3:T3"/>
    <mergeCell ref="A4:C4"/>
    <mergeCell ref="D4:F4"/>
    <mergeCell ref="G4:I4"/>
    <mergeCell ref="J4:L4"/>
    <mergeCell ref="M4:O4"/>
    <mergeCell ref="P4:R4"/>
    <mergeCell ref="S4:U4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AB47-7B19-4C5E-8398-A90468376B0F}">
  <sheetPr codeName="Sheet12"/>
  <dimension ref="B2:T75"/>
  <sheetViews>
    <sheetView topLeftCell="B28" zoomScaleNormal="100" workbookViewId="0">
      <selection activeCell="R53" sqref="R53"/>
    </sheetView>
  </sheetViews>
  <sheetFormatPr defaultRowHeight="12.75" x14ac:dyDescent="0.2"/>
  <cols>
    <col min="2" max="2" width="23.42578125" bestFit="1" customWidth="1"/>
    <col min="3" max="3" width="10.5703125" bestFit="1" customWidth="1"/>
    <col min="4" max="4" width="10.7109375" bestFit="1" customWidth="1"/>
    <col min="6" max="6" width="23.42578125" bestFit="1" customWidth="1"/>
    <col min="7" max="7" width="10.5703125" bestFit="1" customWidth="1"/>
    <col min="8" max="8" width="10.7109375" bestFit="1" customWidth="1"/>
    <col min="10" max="10" width="23.42578125" bestFit="1" customWidth="1"/>
    <col min="11" max="11" width="10.5703125" bestFit="1" customWidth="1"/>
    <col min="12" max="12" width="10.7109375" bestFit="1" customWidth="1"/>
    <col min="14" max="14" width="23.42578125" bestFit="1" customWidth="1"/>
    <col min="15" max="15" width="10.5703125" bestFit="1" customWidth="1"/>
    <col min="16" max="16" width="10.7109375" bestFit="1" customWidth="1"/>
    <col min="18" max="18" width="22.7109375" customWidth="1"/>
    <col min="19" max="19" width="10.5703125" bestFit="1" customWidth="1"/>
    <col min="20" max="20" width="10.7109375" bestFit="1" customWidth="1"/>
  </cols>
  <sheetData>
    <row r="2" spans="2:20" ht="15.75" x14ac:dyDescent="0.25">
      <c r="B2" s="263" t="s">
        <v>173</v>
      </c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</row>
    <row r="4" spans="2:20" x14ac:dyDescent="0.2">
      <c r="C4" s="126" t="s">
        <v>221</v>
      </c>
      <c r="D4" s="119">
        <f>SUM(D64,D55,D45,D34,D25,D16,D73)*1.075</f>
        <v>346300.5</v>
      </c>
      <c r="E4" s="1"/>
      <c r="F4" s="1"/>
      <c r="G4" s="126" t="s">
        <v>222</v>
      </c>
      <c r="H4" s="119">
        <f>SUM(H64,H55,H45,H34,H25,H16,H73)*1.075</f>
        <v>375158.875</v>
      </c>
      <c r="I4" s="1"/>
      <c r="J4" s="1"/>
      <c r="K4" s="126" t="s">
        <v>223</v>
      </c>
      <c r="L4" s="119">
        <f>SUM(L64,L55,L45,L34,L25,L16,L73)*1.075</f>
        <v>430746.05</v>
      </c>
      <c r="M4" s="1"/>
      <c r="N4" s="1"/>
      <c r="O4" s="126" t="s">
        <v>224</v>
      </c>
      <c r="P4" s="119">
        <f>SUM(P64,P55,P45,P34,P25,P16,P73)*1.075</f>
        <v>461513.625</v>
      </c>
      <c r="Q4" s="1"/>
      <c r="R4" s="1"/>
      <c r="S4" s="126" t="s">
        <v>225</v>
      </c>
      <c r="T4" s="119">
        <f>SUM(T64,T55,T45,T34,T25,T16,T73)*1.075</f>
        <v>492281.19999999995</v>
      </c>
    </row>
    <row r="5" spans="2:20" x14ac:dyDescent="0.2">
      <c r="B5" s="1"/>
      <c r="C5" s="1"/>
      <c r="D5" s="80"/>
      <c r="E5" s="1"/>
      <c r="F5" s="80"/>
      <c r="G5" s="80"/>
      <c r="H5" s="1"/>
      <c r="I5" s="80"/>
      <c r="J5" s="80"/>
      <c r="K5" s="1"/>
      <c r="L5" s="80"/>
      <c r="M5" s="80"/>
      <c r="N5" s="1"/>
      <c r="O5" s="80"/>
      <c r="P5" s="80"/>
      <c r="Q5" s="1"/>
      <c r="R5" s="80"/>
      <c r="S5" s="80"/>
      <c r="T5" s="1"/>
    </row>
    <row r="6" spans="2:20" x14ac:dyDescent="0.2">
      <c r="B6" s="1"/>
      <c r="C6" s="80"/>
      <c r="D6" s="80"/>
      <c r="E6" s="1"/>
      <c r="F6" s="80"/>
      <c r="G6" s="80"/>
      <c r="H6" s="1"/>
      <c r="I6" s="80"/>
      <c r="J6" s="1"/>
      <c r="K6" s="1"/>
      <c r="L6" s="80"/>
      <c r="M6" s="80"/>
      <c r="N6" s="1"/>
      <c r="O6" s="80"/>
      <c r="P6" s="80"/>
      <c r="Q6" s="1"/>
      <c r="R6" s="80"/>
      <c r="S6" s="80"/>
      <c r="T6" s="1"/>
    </row>
    <row r="7" spans="2:20" x14ac:dyDescent="0.2">
      <c r="B7" s="241" t="s">
        <v>226</v>
      </c>
      <c r="C7" s="241"/>
      <c r="D7" s="241"/>
      <c r="E7" s="1"/>
      <c r="F7" s="241" t="s">
        <v>227</v>
      </c>
      <c r="G7" s="241"/>
      <c r="H7" s="241"/>
      <c r="I7" s="80"/>
      <c r="J7" s="241" t="s">
        <v>228</v>
      </c>
      <c r="K7" s="241"/>
      <c r="L7" s="241"/>
      <c r="M7" s="80"/>
      <c r="N7" s="241" t="s">
        <v>229</v>
      </c>
      <c r="O7" s="241"/>
      <c r="P7" s="241"/>
      <c r="Q7" s="1"/>
      <c r="R7" s="241" t="s">
        <v>230</v>
      </c>
      <c r="S7" s="241"/>
      <c r="T7" s="241"/>
    </row>
    <row r="8" spans="2:20" x14ac:dyDescent="0.2">
      <c r="B8" s="1"/>
      <c r="C8" s="80"/>
      <c r="D8" s="60">
        <v>0.12</v>
      </c>
      <c r="E8" s="1"/>
      <c r="F8" s="1"/>
      <c r="G8" s="80"/>
      <c r="H8" s="60">
        <v>0.13</v>
      </c>
      <c r="I8" s="80"/>
      <c r="J8" s="1"/>
      <c r="K8" s="80"/>
      <c r="L8" s="60">
        <v>0.14000000000000001</v>
      </c>
      <c r="M8" s="80"/>
      <c r="N8" s="1"/>
      <c r="O8" s="80"/>
      <c r="P8" s="60">
        <v>0.15</v>
      </c>
      <c r="Q8" s="1"/>
      <c r="R8" s="1"/>
      <c r="S8" s="80"/>
      <c r="T8" s="60">
        <v>0.16</v>
      </c>
    </row>
    <row r="9" spans="2:20" ht="15" x14ac:dyDescent="0.2">
      <c r="B9" s="262" t="s">
        <v>64</v>
      </c>
      <c r="C9" s="262"/>
      <c r="D9" s="262"/>
      <c r="E9" s="1"/>
      <c r="F9" s="262" t="s">
        <v>64</v>
      </c>
      <c r="G9" s="262"/>
      <c r="H9" s="262"/>
      <c r="I9" s="1"/>
      <c r="J9" s="262" t="s">
        <v>64</v>
      </c>
      <c r="K9" s="262"/>
      <c r="L9" s="262"/>
      <c r="M9" s="1"/>
      <c r="N9" s="262" t="s">
        <v>64</v>
      </c>
      <c r="O9" s="262"/>
      <c r="P9" s="262"/>
      <c r="Q9" s="1"/>
      <c r="R9" s="262" t="s">
        <v>64</v>
      </c>
      <c r="S9" s="262"/>
      <c r="T9" s="262"/>
    </row>
    <row r="10" spans="2:20" ht="15" x14ac:dyDescent="0.25">
      <c r="B10" s="81" t="s">
        <v>134</v>
      </c>
      <c r="C10" s="128">
        <f>Salaries!E5</f>
        <v>175000</v>
      </c>
      <c r="D10" s="82">
        <f>C10*$D$8</f>
        <v>21000</v>
      </c>
      <c r="E10" s="1"/>
      <c r="F10" s="81" t="s">
        <v>134</v>
      </c>
      <c r="G10" s="128">
        <f>Salaries!E5</f>
        <v>175000</v>
      </c>
      <c r="H10" s="82">
        <f>G10*$H$8</f>
        <v>22750</v>
      </c>
      <c r="I10" s="1"/>
      <c r="J10" s="81" t="s">
        <v>134</v>
      </c>
      <c r="K10" s="128">
        <f>Salaries!E5</f>
        <v>175000</v>
      </c>
      <c r="L10" s="82">
        <f>K10*$L$8</f>
        <v>24500.000000000004</v>
      </c>
      <c r="M10" s="1"/>
      <c r="N10" s="81" t="s">
        <v>134</v>
      </c>
      <c r="O10" s="128">
        <f>Salaries!E5</f>
        <v>175000</v>
      </c>
      <c r="P10" s="82">
        <f>O10*$P$8</f>
        <v>26250</v>
      </c>
      <c r="Q10" s="1"/>
      <c r="R10" s="81" t="s">
        <v>134</v>
      </c>
      <c r="S10" s="128">
        <f>Salaries!E5</f>
        <v>175000</v>
      </c>
      <c r="T10" s="82">
        <f>S10*$T$8</f>
        <v>28000</v>
      </c>
    </row>
    <row r="11" spans="2:20" ht="15" x14ac:dyDescent="0.25">
      <c r="B11" s="81" t="s">
        <v>200</v>
      </c>
      <c r="C11" s="128">
        <f>Salaries!E6</f>
        <v>85000</v>
      </c>
      <c r="D11" s="82">
        <f>C11*$D$8</f>
        <v>10200</v>
      </c>
      <c r="E11" s="1"/>
      <c r="F11" s="81" t="s">
        <v>200</v>
      </c>
      <c r="G11" s="128">
        <f>Salaries!E6</f>
        <v>85000</v>
      </c>
      <c r="H11" s="82">
        <f>G11*$H$8</f>
        <v>11050</v>
      </c>
      <c r="I11" s="1"/>
      <c r="J11" s="81" t="s">
        <v>200</v>
      </c>
      <c r="K11" s="128">
        <f>Salaries!E6</f>
        <v>85000</v>
      </c>
      <c r="L11" s="82">
        <f>K11*$L$8</f>
        <v>11900.000000000002</v>
      </c>
      <c r="M11" s="84"/>
      <c r="N11" s="81" t="s">
        <v>200</v>
      </c>
      <c r="O11" s="128">
        <f>Salaries!E6</f>
        <v>85000</v>
      </c>
      <c r="P11" s="82">
        <f>O11*$P$8</f>
        <v>12750</v>
      </c>
      <c r="Q11" s="1"/>
      <c r="R11" s="81" t="s">
        <v>200</v>
      </c>
      <c r="S11" s="128">
        <f>Salaries!E6</f>
        <v>85000</v>
      </c>
      <c r="T11" s="82">
        <f>S11*$T$8</f>
        <v>13600</v>
      </c>
    </row>
    <row r="12" spans="2:20" ht="15" x14ac:dyDescent="0.25">
      <c r="B12" s="81" t="s">
        <v>206</v>
      </c>
      <c r="C12" s="128">
        <f>Salaries!E7</f>
        <v>85000</v>
      </c>
      <c r="D12" s="82">
        <f>C12*$D$8</f>
        <v>10200</v>
      </c>
      <c r="E12" s="1"/>
      <c r="F12" s="81" t="s">
        <v>206</v>
      </c>
      <c r="G12" s="128">
        <f>Salaries!E7</f>
        <v>85000</v>
      </c>
      <c r="H12" s="82">
        <f>G12*$H$8</f>
        <v>11050</v>
      </c>
      <c r="I12" s="1"/>
      <c r="J12" s="81" t="s">
        <v>206</v>
      </c>
      <c r="K12" s="128">
        <f>Salaries!E7</f>
        <v>85000</v>
      </c>
      <c r="L12" s="82">
        <f>K12*$L$8</f>
        <v>11900.000000000002</v>
      </c>
      <c r="M12" s="1"/>
      <c r="N12" s="81" t="s">
        <v>206</v>
      </c>
      <c r="O12" s="128">
        <f>Salaries!E7</f>
        <v>85000</v>
      </c>
      <c r="P12" s="82">
        <f>O12*$P$8</f>
        <v>12750</v>
      </c>
      <c r="Q12" s="1"/>
      <c r="R12" s="81" t="s">
        <v>206</v>
      </c>
      <c r="S12" s="128">
        <f>Salaries!E7</f>
        <v>85000</v>
      </c>
      <c r="T12" s="82">
        <f>S12*$T$8</f>
        <v>13600</v>
      </c>
    </row>
    <row r="13" spans="2:20" ht="15" x14ac:dyDescent="0.25">
      <c r="B13" s="81" t="s">
        <v>212</v>
      </c>
      <c r="C13" s="128">
        <f>Salaries!E8</f>
        <v>65000</v>
      </c>
      <c r="D13" s="82">
        <f>C13*$D$8</f>
        <v>7800</v>
      </c>
      <c r="E13" s="1"/>
      <c r="F13" s="81" t="s">
        <v>212</v>
      </c>
      <c r="G13" s="128">
        <f>Salaries!E8</f>
        <v>65000</v>
      </c>
      <c r="H13" s="82">
        <f>G13*$H$8</f>
        <v>8450</v>
      </c>
      <c r="I13" s="1"/>
      <c r="J13" s="81" t="s">
        <v>212</v>
      </c>
      <c r="K13" s="128">
        <f>Salaries!E8</f>
        <v>65000</v>
      </c>
      <c r="L13" s="82">
        <f>K13*$L$8</f>
        <v>9100</v>
      </c>
      <c r="M13" s="1"/>
      <c r="N13" s="81" t="s">
        <v>212</v>
      </c>
      <c r="O13" s="128">
        <f>Salaries!E8</f>
        <v>65000</v>
      </c>
      <c r="P13" s="82">
        <f>O13*$P$8</f>
        <v>9750</v>
      </c>
      <c r="Q13" s="1"/>
      <c r="R13" s="81" t="s">
        <v>212</v>
      </c>
      <c r="S13" s="128">
        <f>Salaries!E8</f>
        <v>65000</v>
      </c>
      <c r="T13" s="82">
        <f>S13*$T$8</f>
        <v>10400</v>
      </c>
    </row>
    <row r="14" spans="2:20" x14ac:dyDescent="0.2">
      <c r="B14" s="83"/>
      <c r="C14" s="102"/>
      <c r="D14" s="82"/>
      <c r="E14" s="1"/>
      <c r="F14" s="83"/>
      <c r="G14" s="102"/>
      <c r="H14" s="82"/>
      <c r="I14" s="1"/>
      <c r="J14" s="83"/>
      <c r="K14" s="102"/>
      <c r="L14" s="82"/>
      <c r="M14" s="1"/>
      <c r="N14" s="83"/>
      <c r="O14" s="102"/>
      <c r="P14" s="82"/>
      <c r="Q14" s="1"/>
      <c r="R14" s="83"/>
      <c r="S14" s="102"/>
      <c r="T14" s="82"/>
    </row>
    <row r="15" spans="2:20" x14ac:dyDescent="0.2">
      <c r="B15" s="83"/>
      <c r="C15" s="102"/>
      <c r="D15" s="82"/>
      <c r="E15" s="1"/>
      <c r="F15" s="83"/>
      <c r="G15" s="102"/>
      <c r="H15" s="82"/>
      <c r="I15" s="1"/>
      <c r="J15" s="83"/>
      <c r="K15" s="102"/>
      <c r="L15" s="82"/>
      <c r="M15" s="1"/>
      <c r="N15" s="83"/>
      <c r="O15" s="102"/>
      <c r="P15" s="82"/>
      <c r="Q15" s="1"/>
      <c r="R15" s="83"/>
      <c r="S15" s="102"/>
      <c r="T15" s="82"/>
    </row>
    <row r="16" spans="2:20" x14ac:dyDescent="0.2">
      <c r="B16" s="1" t="s">
        <v>217</v>
      </c>
      <c r="C16" s="130">
        <f>SUM(C10:C15)</f>
        <v>410000</v>
      </c>
      <c r="D16" s="169">
        <f>SUM(D10:D15)</f>
        <v>49200</v>
      </c>
      <c r="E16" s="1"/>
      <c r="F16" s="1" t="s">
        <v>217</v>
      </c>
      <c r="G16" s="168">
        <f>SUM(G10:G15)</f>
        <v>410000</v>
      </c>
      <c r="H16" s="131">
        <f>SUM(H10:H15)</f>
        <v>53300</v>
      </c>
      <c r="I16" s="1"/>
      <c r="J16" s="1" t="s">
        <v>217</v>
      </c>
      <c r="K16" s="168">
        <f>SUM(K10:K15)</f>
        <v>410000</v>
      </c>
      <c r="L16" s="131">
        <f>SUM(L10:L15)</f>
        <v>57400.000000000007</v>
      </c>
      <c r="M16" s="1"/>
      <c r="N16" s="1" t="s">
        <v>217</v>
      </c>
      <c r="O16" s="168">
        <f>SUM(O10:O15)</f>
        <v>410000</v>
      </c>
      <c r="P16" s="131">
        <f>SUM(P10:P15)</f>
        <v>61500</v>
      </c>
      <c r="Q16" s="1"/>
      <c r="R16" s="1" t="s">
        <v>217</v>
      </c>
      <c r="S16" s="168">
        <f>SUM(S10:S15)</f>
        <v>410000</v>
      </c>
      <c r="T16" s="131">
        <f>SUM(T10:T15)</f>
        <v>65600</v>
      </c>
    </row>
    <row r="17" spans="2:20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2:20" ht="15" x14ac:dyDescent="0.2">
      <c r="B18" s="262" t="s">
        <v>194</v>
      </c>
      <c r="C18" s="262"/>
      <c r="D18" s="262"/>
      <c r="E18" s="1"/>
      <c r="F18" s="262" t="s">
        <v>194</v>
      </c>
      <c r="G18" s="262"/>
      <c r="H18" s="262"/>
      <c r="I18" s="1"/>
      <c r="J18" s="262" t="s">
        <v>194</v>
      </c>
      <c r="K18" s="262"/>
      <c r="L18" s="262"/>
      <c r="M18" s="1"/>
      <c r="N18" s="262" t="s">
        <v>194</v>
      </c>
      <c r="O18" s="262"/>
      <c r="P18" s="262"/>
      <c r="Q18" s="1"/>
      <c r="R18" s="262" t="s">
        <v>194</v>
      </c>
      <c r="S18" s="262"/>
      <c r="T18" s="262"/>
    </row>
    <row r="19" spans="2:20" ht="15" x14ac:dyDescent="0.25">
      <c r="B19" s="81" t="s">
        <v>137</v>
      </c>
      <c r="C19" s="128">
        <f>Salaries!H5</f>
        <v>140000</v>
      </c>
      <c r="D19" s="82">
        <f>C19*$D$8</f>
        <v>16800</v>
      </c>
      <c r="E19" s="1"/>
      <c r="F19" s="81" t="s">
        <v>137</v>
      </c>
      <c r="G19" s="128">
        <f>Salaries!H5</f>
        <v>140000</v>
      </c>
      <c r="H19" s="82">
        <f>G19*$H$8</f>
        <v>18200</v>
      </c>
      <c r="I19" s="1"/>
      <c r="J19" s="81" t="s">
        <v>137</v>
      </c>
      <c r="K19" s="128">
        <f>Salaries!H5</f>
        <v>140000</v>
      </c>
      <c r="L19" s="82">
        <f>K19*$L$8</f>
        <v>19600.000000000004</v>
      </c>
      <c r="M19" s="1"/>
      <c r="N19" s="81" t="s">
        <v>137</v>
      </c>
      <c r="O19" s="128">
        <f>Salaries!H5</f>
        <v>140000</v>
      </c>
      <c r="P19" s="82">
        <f>O19*$P$8</f>
        <v>21000</v>
      </c>
      <c r="Q19" s="1"/>
      <c r="R19" s="81" t="s">
        <v>137</v>
      </c>
      <c r="S19" s="128">
        <f>Salaries!H5</f>
        <v>140000</v>
      </c>
      <c r="T19" s="82">
        <f>S19*$T$8</f>
        <v>22400</v>
      </c>
    </row>
    <row r="20" spans="2:20" ht="15" x14ac:dyDescent="0.25">
      <c r="B20" s="81" t="s">
        <v>201</v>
      </c>
      <c r="C20" s="128">
        <f>Salaries!H6</f>
        <v>50000</v>
      </c>
      <c r="D20" s="82">
        <f>C20*$D$8</f>
        <v>6000</v>
      </c>
      <c r="E20" s="1"/>
      <c r="F20" s="81" t="s">
        <v>201</v>
      </c>
      <c r="G20" s="128">
        <f>Salaries!H6</f>
        <v>50000</v>
      </c>
      <c r="H20" s="82">
        <f>G20*$H$8</f>
        <v>6500</v>
      </c>
      <c r="I20" s="1"/>
      <c r="J20" s="81" t="s">
        <v>201</v>
      </c>
      <c r="K20" s="128">
        <f>Salaries!H6</f>
        <v>50000</v>
      </c>
      <c r="L20" s="82">
        <f>K20*$L$8</f>
        <v>7000.0000000000009</v>
      </c>
      <c r="M20" s="1"/>
      <c r="N20" s="81" t="s">
        <v>201</v>
      </c>
      <c r="O20" s="128">
        <f>Salaries!H6</f>
        <v>50000</v>
      </c>
      <c r="P20" s="82">
        <f>O20*$P$8</f>
        <v>7500</v>
      </c>
      <c r="Q20" s="1"/>
      <c r="R20" s="81" t="s">
        <v>201</v>
      </c>
      <c r="S20" s="128">
        <f>Salaries!H6</f>
        <v>50000</v>
      </c>
      <c r="T20" s="82">
        <f>S20*$T$8</f>
        <v>8000</v>
      </c>
    </row>
    <row r="21" spans="2:20" ht="15" x14ac:dyDescent="0.25">
      <c r="B21" s="81" t="s">
        <v>207</v>
      </c>
      <c r="C21" s="128">
        <f>Salaries!H7</f>
        <v>52000</v>
      </c>
      <c r="D21" s="82">
        <f>C21*$D$8</f>
        <v>6240</v>
      </c>
      <c r="E21" s="1"/>
      <c r="F21" s="81" t="s">
        <v>207</v>
      </c>
      <c r="G21" s="128">
        <f>Salaries!H7</f>
        <v>52000</v>
      </c>
      <c r="H21" s="82">
        <f>G21*$H$8</f>
        <v>6760</v>
      </c>
      <c r="I21" s="1"/>
      <c r="J21" s="81" t="s">
        <v>207</v>
      </c>
      <c r="K21" s="128">
        <f>Salaries!H7</f>
        <v>52000</v>
      </c>
      <c r="L21" s="82">
        <f>K21*$L$8</f>
        <v>7280.0000000000009</v>
      </c>
      <c r="M21" s="1"/>
      <c r="N21" s="81" t="s">
        <v>207</v>
      </c>
      <c r="O21" s="128">
        <f>Salaries!H7</f>
        <v>52000</v>
      </c>
      <c r="P21" s="82">
        <f>O21*$P$8</f>
        <v>7800</v>
      </c>
      <c r="Q21" s="1"/>
      <c r="R21" s="81" t="s">
        <v>207</v>
      </c>
      <c r="S21" s="128">
        <f>Salaries!H7</f>
        <v>52000</v>
      </c>
      <c r="T21" s="82">
        <f>S21*$T$8</f>
        <v>8320</v>
      </c>
    </row>
    <row r="22" spans="2:20" x14ac:dyDescent="0.2">
      <c r="B22" s="83"/>
      <c r="C22" s="102"/>
      <c r="D22" s="82"/>
      <c r="E22" s="1"/>
      <c r="F22" s="83"/>
      <c r="G22" s="102"/>
      <c r="H22" s="82"/>
      <c r="I22" s="1"/>
      <c r="J22" s="83"/>
      <c r="K22" s="102"/>
      <c r="L22" s="82"/>
      <c r="M22" s="1"/>
      <c r="N22" s="83"/>
      <c r="O22" s="102"/>
      <c r="P22" s="82"/>
      <c r="Q22" s="1"/>
      <c r="R22" s="83"/>
      <c r="S22" s="102"/>
      <c r="T22" s="82"/>
    </row>
    <row r="23" spans="2:20" x14ac:dyDescent="0.2">
      <c r="B23" s="83"/>
      <c r="C23" s="102"/>
      <c r="D23" s="82"/>
      <c r="E23" s="1"/>
      <c r="F23" s="83"/>
      <c r="G23" s="102"/>
      <c r="H23" s="82"/>
      <c r="I23" s="1"/>
      <c r="J23" s="83"/>
      <c r="K23" s="102"/>
      <c r="L23" s="82"/>
      <c r="M23" s="1"/>
      <c r="N23" s="83"/>
      <c r="O23" s="102"/>
      <c r="P23" s="82"/>
      <c r="Q23" s="1"/>
      <c r="R23" s="83"/>
      <c r="S23" s="102"/>
      <c r="T23" s="82"/>
    </row>
    <row r="24" spans="2:20" x14ac:dyDescent="0.2">
      <c r="B24" s="83"/>
      <c r="C24" s="102"/>
      <c r="D24" s="82"/>
      <c r="E24" s="1"/>
      <c r="F24" s="83"/>
      <c r="G24" s="102"/>
      <c r="H24" s="82"/>
      <c r="I24" s="1"/>
      <c r="J24" s="83"/>
      <c r="K24" s="102"/>
      <c r="L24" s="82"/>
      <c r="M24" s="1"/>
      <c r="N24" s="83"/>
      <c r="O24" s="102"/>
      <c r="P24" s="82"/>
      <c r="Q24" s="1"/>
      <c r="R24" s="83"/>
      <c r="S24" s="102"/>
      <c r="T24" s="82"/>
    </row>
    <row r="25" spans="2:20" x14ac:dyDescent="0.2">
      <c r="B25" s="1" t="s">
        <v>217</v>
      </c>
      <c r="C25" s="130">
        <f>SUM(C19:C24)</f>
        <v>242000</v>
      </c>
      <c r="D25" s="169">
        <f>SUM(D19:D24)</f>
        <v>29040</v>
      </c>
      <c r="E25" s="1"/>
      <c r="F25" s="1" t="s">
        <v>217</v>
      </c>
      <c r="G25" s="168">
        <f>SUM(G19:G24)</f>
        <v>242000</v>
      </c>
      <c r="H25" s="131">
        <f>SUM(H19:H24)</f>
        <v>31460</v>
      </c>
      <c r="I25" s="1"/>
      <c r="J25" s="1" t="s">
        <v>217</v>
      </c>
      <c r="K25" s="168">
        <f>SUM(K19:K24)</f>
        <v>242000</v>
      </c>
      <c r="L25" s="131">
        <f>SUM(L19:L24)</f>
        <v>33880.000000000007</v>
      </c>
      <c r="M25" s="1"/>
      <c r="N25" s="1" t="s">
        <v>217</v>
      </c>
      <c r="O25" s="168">
        <f>SUM(O19:O24)</f>
        <v>242000</v>
      </c>
      <c r="P25" s="131">
        <f>SUM(P19:P24)</f>
        <v>36300</v>
      </c>
      <c r="Q25" s="1"/>
      <c r="R25" s="1" t="s">
        <v>217</v>
      </c>
      <c r="S25" s="168">
        <f>SUM(S19:S24)</f>
        <v>242000</v>
      </c>
      <c r="T25" s="131">
        <f>SUM(T19:T24)</f>
        <v>38720</v>
      </c>
    </row>
    <row r="26" spans="2:20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2:20" ht="15" x14ac:dyDescent="0.2">
      <c r="B27" s="262" t="s">
        <v>195</v>
      </c>
      <c r="C27" s="262"/>
      <c r="D27" s="262"/>
      <c r="E27" s="1"/>
      <c r="F27" s="262" t="s">
        <v>195</v>
      </c>
      <c r="G27" s="262"/>
      <c r="H27" s="262"/>
      <c r="I27" s="1"/>
      <c r="J27" s="262" t="s">
        <v>195</v>
      </c>
      <c r="K27" s="262"/>
      <c r="L27" s="262"/>
      <c r="M27" s="1"/>
      <c r="N27" s="262" t="s">
        <v>195</v>
      </c>
      <c r="O27" s="262"/>
      <c r="P27" s="262"/>
      <c r="Q27" s="1"/>
      <c r="R27" s="262" t="s">
        <v>195</v>
      </c>
      <c r="S27" s="262"/>
      <c r="T27" s="262"/>
    </row>
    <row r="28" spans="2:20" ht="15" x14ac:dyDescent="0.25">
      <c r="B28" s="81" t="s">
        <v>139</v>
      </c>
      <c r="C28" s="128">
        <f>Salaries!K5</f>
        <v>185000</v>
      </c>
      <c r="D28" s="82">
        <f>C28*$D$8</f>
        <v>22200</v>
      </c>
      <c r="E28" s="1"/>
      <c r="F28" s="81" t="s">
        <v>139</v>
      </c>
      <c r="G28" s="128">
        <f>Salaries!K5</f>
        <v>185000</v>
      </c>
      <c r="H28" s="82">
        <f>G28*$H$8</f>
        <v>24050</v>
      </c>
      <c r="I28" s="1"/>
      <c r="J28" s="81" t="s">
        <v>139</v>
      </c>
      <c r="K28" s="128">
        <f>Salaries!K5</f>
        <v>185000</v>
      </c>
      <c r="L28" s="82">
        <f>K28*$L$8</f>
        <v>25900.000000000004</v>
      </c>
      <c r="M28" s="1"/>
      <c r="N28" s="81" t="s">
        <v>139</v>
      </c>
      <c r="O28" s="128">
        <f>Salaries!K5</f>
        <v>185000</v>
      </c>
      <c r="P28" s="82">
        <f>O28*$P$8</f>
        <v>27750</v>
      </c>
      <c r="Q28" s="1"/>
      <c r="R28" s="81" t="s">
        <v>139</v>
      </c>
      <c r="S28" s="128">
        <f>Salaries!K5</f>
        <v>185000</v>
      </c>
      <c r="T28" s="82">
        <f>S28*$T$8</f>
        <v>29600</v>
      </c>
    </row>
    <row r="29" spans="2:20" ht="15" x14ac:dyDescent="0.25">
      <c r="B29" s="81" t="s">
        <v>202</v>
      </c>
      <c r="C29" s="128">
        <f>Salaries!K6</f>
        <v>75000</v>
      </c>
      <c r="D29" s="82">
        <f>C29*$D$8</f>
        <v>9000</v>
      </c>
      <c r="E29" s="1"/>
      <c r="F29" s="81" t="s">
        <v>202</v>
      </c>
      <c r="G29" s="128">
        <f>Salaries!K6</f>
        <v>75000</v>
      </c>
      <c r="H29" s="82">
        <f>G29*$H$8</f>
        <v>9750</v>
      </c>
      <c r="I29" s="1"/>
      <c r="J29" s="81" t="s">
        <v>202</v>
      </c>
      <c r="K29" s="128">
        <f>Salaries!K6</f>
        <v>75000</v>
      </c>
      <c r="L29" s="82">
        <f>K29*$L$8</f>
        <v>10500.000000000002</v>
      </c>
      <c r="M29" s="1"/>
      <c r="N29" s="81" t="s">
        <v>202</v>
      </c>
      <c r="O29" s="128">
        <f>Salaries!K6</f>
        <v>75000</v>
      </c>
      <c r="P29" s="82">
        <f>O29*$P$8</f>
        <v>11250</v>
      </c>
      <c r="Q29" s="1"/>
      <c r="R29" s="81" t="s">
        <v>202</v>
      </c>
      <c r="S29" s="128">
        <f>Salaries!K6</f>
        <v>75000</v>
      </c>
      <c r="T29" s="82">
        <f>S29*$T$8</f>
        <v>12000</v>
      </c>
    </row>
    <row r="30" spans="2:20" ht="15" x14ac:dyDescent="0.25">
      <c r="B30" s="81" t="s">
        <v>208</v>
      </c>
      <c r="C30" s="128">
        <f>Salaries!K7</f>
        <v>80000</v>
      </c>
      <c r="D30" s="82">
        <f>C30*$D$8</f>
        <v>9600</v>
      </c>
      <c r="E30" s="1"/>
      <c r="F30" s="81" t="s">
        <v>208</v>
      </c>
      <c r="G30" s="128">
        <f>Salaries!K7</f>
        <v>80000</v>
      </c>
      <c r="H30" s="82">
        <f>G30*$H$8</f>
        <v>10400</v>
      </c>
      <c r="I30" s="1"/>
      <c r="J30" s="81" t="s">
        <v>208</v>
      </c>
      <c r="K30" s="128">
        <f>Salaries!K7</f>
        <v>80000</v>
      </c>
      <c r="L30" s="82">
        <f>K30*$L$8</f>
        <v>11200.000000000002</v>
      </c>
      <c r="M30" s="1"/>
      <c r="N30" s="81" t="s">
        <v>208</v>
      </c>
      <c r="O30" s="128">
        <f>Salaries!K7</f>
        <v>80000</v>
      </c>
      <c r="P30" s="82">
        <f>O30*$P$8</f>
        <v>12000</v>
      </c>
      <c r="Q30" s="1"/>
      <c r="R30" s="81" t="s">
        <v>208</v>
      </c>
      <c r="S30" s="128">
        <f>Salaries!K7</f>
        <v>80000</v>
      </c>
      <c r="T30" s="82">
        <f>S30*$T$8</f>
        <v>12800</v>
      </c>
    </row>
    <row r="31" spans="2:20" x14ac:dyDescent="0.2">
      <c r="B31" s="83"/>
      <c r="C31" s="102"/>
      <c r="D31" s="82"/>
      <c r="E31" s="1"/>
      <c r="F31" s="83"/>
      <c r="G31" s="102"/>
      <c r="H31" s="82"/>
      <c r="I31" s="1"/>
      <c r="J31" s="83"/>
      <c r="K31" s="102"/>
      <c r="L31" s="82"/>
      <c r="M31" s="1"/>
      <c r="N31" s="83"/>
      <c r="O31" s="102"/>
      <c r="P31" s="82"/>
      <c r="Q31" s="1"/>
      <c r="R31" s="83"/>
      <c r="S31" s="102"/>
      <c r="T31" s="82"/>
    </row>
    <row r="32" spans="2:20" x14ac:dyDescent="0.2">
      <c r="B32" s="83"/>
      <c r="C32" s="102"/>
      <c r="D32" s="82"/>
      <c r="E32" s="1"/>
      <c r="F32" s="83"/>
      <c r="G32" s="102"/>
      <c r="H32" s="82"/>
      <c r="I32" s="1"/>
      <c r="J32" s="83"/>
      <c r="K32" s="102"/>
      <c r="L32" s="82"/>
      <c r="M32" s="1"/>
      <c r="N32" s="83"/>
      <c r="O32" s="102"/>
      <c r="P32" s="82"/>
      <c r="Q32" s="1"/>
      <c r="R32" s="83"/>
      <c r="S32" s="102"/>
      <c r="T32" s="82"/>
    </row>
    <row r="33" spans="2:20" x14ac:dyDescent="0.2">
      <c r="B33" s="83"/>
      <c r="C33" s="102"/>
      <c r="D33" s="82"/>
      <c r="E33" s="1"/>
      <c r="F33" s="83"/>
      <c r="G33" s="102"/>
      <c r="H33" s="82"/>
      <c r="I33" s="1"/>
      <c r="J33" s="83"/>
      <c r="K33" s="102"/>
      <c r="L33" s="82"/>
      <c r="M33" s="1"/>
      <c r="N33" s="83"/>
      <c r="O33" s="102"/>
      <c r="P33" s="82"/>
      <c r="Q33" s="1"/>
      <c r="R33" s="83"/>
      <c r="S33" s="102"/>
      <c r="T33" s="82"/>
    </row>
    <row r="34" spans="2:20" x14ac:dyDescent="0.2">
      <c r="B34" s="1" t="s">
        <v>217</v>
      </c>
      <c r="C34" s="130">
        <f>SUM(C28:C33)</f>
        <v>340000</v>
      </c>
      <c r="D34" s="169">
        <f>SUM(D28:D33)</f>
        <v>40800</v>
      </c>
      <c r="E34" s="1"/>
      <c r="F34" s="1" t="s">
        <v>217</v>
      </c>
      <c r="G34" s="168">
        <f>SUM(G28:G33)</f>
        <v>340000</v>
      </c>
      <c r="H34" s="131">
        <f>SUM(H28:H33)</f>
        <v>44200</v>
      </c>
      <c r="I34" s="1"/>
      <c r="J34" s="1" t="s">
        <v>217</v>
      </c>
      <c r="K34" s="168">
        <f>SUM(K28:K33)</f>
        <v>340000</v>
      </c>
      <c r="L34" s="131">
        <f>SUM(L28:L33)</f>
        <v>47600.000000000007</v>
      </c>
      <c r="M34" s="1"/>
      <c r="N34" s="1" t="s">
        <v>217</v>
      </c>
      <c r="O34" s="168">
        <f>SUM(O28:O33)</f>
        <v>340000</v>
      </c>
      <c r="P34" s="131">
        <f>SUM(P28:P33)</f>
        <v>51000</v>
      </c>
      <c r="Q34" s="1"/>
      <c r="R34" s="1" t="s">
        <v>217</v>
      </c>
      <c r="S34" s="168">
        <f>SUM(S28:S33)</f>
        <v>340000</v>
      </c>
      <c r="T34" s="131">
        <f>SUM(T28:T33)</f>
        <v>54400</v>
      </c>
    </row>
    <row r="35" spans="2:20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2:20" ht="15" x14ac:dyDescent="0.2">
      <c r="B36" s="262" t="s">
        <v>32</v>
      </c>
      <c r="C36" s="262"/>
      <c r="D36" s="262"/>
      <c r="E36" s="1"/>
      <c r="F36" s="262" t="s">
        <v>32</v>
      </c>
      <c r="G36" s="262"/>
      <c r="H36" s="262"/>
      <c r="I36" s="1"/>
      <c r="J36" s="262" t="s">
        <v>32</v>
      </c>
      <c r="K36" s="262"/>
      <c r="L36" s="262"/>
      <c r="M36" s="1"/>
      <c r="N36" s="262" t="s">
        <v>32</v>
      </c>
      <c r="O36" s="262"/>
      <c r="P36" s="262"/>
      <c r="Q36" s="1"/>
      <c r="R36" s="262" t="s">
        <v>32</v>
      </c>
      <c r="S36" s="262"/>
      <c r="T36" s="262"/>
    </row>
    <row r="37" spans="2:20" ht="15" x14ac:dyDescent="0.25">
      <c r="B37" s="81" t="s">
        <v>198</v>
      </c>
      <c r="C37" s="128">
        <f>Salaries!N5</f>
        <v>175000</v>
      </c>
      <c r="D37" s="82">
        <f t="shared" ref="D37:D42" si="0">C37*$D$8</f>
        <v>21000</v>
      </c>
      <c r="E37" s="1"/>
      <c r="F37" s="81" t="s">
        <v>198</v>
      </c>
      <c r="G37" s="128">
        <f>Salaries!N5</f>
        <v>175000</v>
      </c>
      <c r="H37" s="82">
        <f t="shared" ref="H37:H42" si="1">G37*$H$8</f>
        <v>22750</v>
      </c>
      <c r="I37" s="1"/>
      <c r="J37" s="81" t="s">
        <v>198</v>
      </c>
      <c r="K37" s="128">
        <f>Salaries!N5</f>
        <v>175000</v>
      </c>
      <c r="L37" s="82">
        <f t="shared" ref="L37:L43" si="2">K37*$L$8</f>
        <v>24500.000000000004</v>
      </c>
      <c r="M37" s="1"/>
      <c r="N37" s="81" t="s">
        <v>198</v>
      </c>
      <c r="O37" s="128">
        <f>Salaries!N5</f>
        <v>175000</v>
      </c>
      <c r="P37" s="82">
        <f t="shared" ref="P37:P42" si="3">O37*$P$8</f>
        <v>26250</v>
      </c>
      <c r="Q37" s="1"/>
      <c r="R37" s="81" t="s">
        <v>198</v>
      </c>
      <c r="S37" s="128">
        <f>Salaries!N5</f>
        <v>175000</v>
      </c>
      <c r="T37" s="82">
        <f t="shared" ref="T37:T42" si="4">S37*$T$8</f>
        <v>28000</v>
      </c>
    </row>
    <row r="38" spans="2:20" ht="15" x14ac:dyDescent="0.25">
      <c r="B38" s="81" t="s">
        <v>203</v>
      </c>
      <c r="C38" s="128">
        <f>Salaries!N6</f>
        <v>82500</v>
      </c>
      <c r="D38" s="82">
        <f t="shared" si="0"/>
        <v>9900</v>
      </c>
      <c r="E38" s="1"/>
      <c r="F38" s="81" t="s">
        <v>203</v>
      </c>
      <c r="G38" s="128">
        <f>Salaries!N6</f>
        <v>82500</v>
      </c>
      <c r="H38" s="82">
        <f t="shared" si="1"/>
        <v>10725</v>
      </c>
      <c r="I38" s="1"/>
      <c r="J38" s="81" t="s">
        <v>203</v>
      </c>
      <c r="K38" s="128">
        <f>Salaries!N6</f>
        <v>82500</v>
      </c>
      <c r="L38" s="82">
        <f t="shared" si="2"/>
        <v>11550.000000000002</v>
      </c>
      <c r="M38" s="1"/>
      <c r="N38" s="81" t="s">
        <v>203</v>
      </c>
      <c r="O38" s="128">
        <f>Salaries!N6</f>
        <v>82500</v>
      </c>
      <c r="P38" s="82">
        <f t="shared" si="3"/>
        <v>12375</v>
      </c>
      <c r="Q38" s="1"/>
      <c r="R38" s="81" t="s">
        <v>203</v>
      </c>
      <c r="S38" s="128">
        <f>Salaries!N6</f>
        <v>82500</v>
      </c>
      <c r="T38" s="82">
        <f t="shared" si="4"/>
        <v>13200</v>
      </c>
    </row>
    <row r="39" spans="2:20" ht="15" x14ac:dyDescent="0.25">
      <c r="B39" s="81" t="s">
        <v>209</v>
      </c>
      <c r="C39" s="128">
        <f>Salaries!N7</f>
        <v>82500</v>
      </c>
      <c r="D39" s="82">
        <f t="shared" si="0"/>
        <v>9900</v>
      </c>
      <c r="E39" s="1"/>
      <c r="F39" s="81" t="s">
        <v>209</v>
      </c>
      <c r="G39" s="128">
        <f>Salaries!N7</f>
        <v>82500</v>
      </c>
      <c r="H39" s="82">
        <f t="shared" si="1"/>
        <v>10725</v>
      </c>
      <c r="I39" s="1"/>
      <c r="J39" s="81" t="s">
        <v>209</v>
      </c>
      <c r="K39" s="128">
        <f>Salaries!N7</f>
        <v>82500</v>
      </c>
      <c r="L39" s="82">
        <f t="shared" si="2"/>
        <v>11550.000000000002</v>
      </c>
      <c r="M39" s="1"/>
      <c r="N39" s="81" t="s">
        <v>209</v>
      </c>
      <c r="O39" s="128">
        <f>Salaries!N7</f>
        <v>82500</v>
      </c>
      <c r="P39" s="82">
        <f t="shared" si="3"/>
        <v>12375</v>
      </c>
      <c r="Q39" s="1"/>
      <c r="R39" s="81" t="s">
        <v>209</v>
      </c>
      <c r="S39" s="128">
        <f>Salaries!N7</f>
        <v>82500</v>
      </c>
      <c r="T39" s="82">
        <f t="shared" si="4"/>
        <v>13200</v>
      </c>
    </row>
    <row r="40" spans="2:20" ht="15" x14ac:dyDescent="0.25">
      <c r="B40" s="81" t="s">
        <v>213</v>
      </c>
      <c r="C40" s="128">
        <f>Salaries!N8</f>
        <v>82500</v>
      </c>
      <c r="D40" s="82">
        <f t="shared" si="0"/>
        <v>9900</v>
      </c>
      <c r="E40" s="1"/>
      <c r="F40" s="81" t="s">
        <v>213</v>
      </c>
      <c r="G40" s="128">
        <f>Salaries!N8</f>
        <v>82500</v>
      </c>
      <c r="H40" s="82">
        <f t="shared" si="1"/>
        <v>10725</v>
      </c>
      <c r="I40" s="1"/>
      <c r="J40" s="81" t="s">
        <v>213</v>
      </c>
      <c r="K40" s="128">
        <f>Salaries!N8</f>
        <v>82500</v>
      </c>
      <c r="L40" s="82">
        <f t="shared" si="2"/>
        <v>11550.000000000002</v>
      </c>
      <c r="M40" s="1"/>
      <c r="N40" s="81" t="s">
        <v>213</v>
      </c>
      <c r="O40" s="128">
        <f>Salaries!N8</f>
        <v>82500</v>
      </c>
      <c r="P40" s="82">
        <f t="shared" si="3"/>
        <v>12375</v>
      </c>
      <c r="Q40" s="1"/>
      <c r="R40" s="81" t="s">
        <v>213</v>
      </c>
      <c r="S40" s="128">
        <f>Salaries!N8</f>
        <v>82500</v>
      </c>
      <c r="T40" s="82">
        <f t="shared" si="4"/>
        <v>13200</v>
      </c>
    </row>
    <row r="41" spans="2:20" ht="15" x14ac:dyDescent="0.25">
      <c r="B41" s="81" t="s">
        <v>214</v>
      </c>
      <c r="C41" s="128">
        <f>Salaries!N9</f>
        <v>82500</v>
      </c>
      <c r="D41" s="82">
        <f t="shared" si="0"/>
        <v>9900</v>
      </c>
      <c r="E41" s="1"/>
      <c r="F41" s="81" t="s">
        <v>214</v>
      </c>
      <c r="G41" s="128">
        <f>Salaries!N9</f>
        <v>82500</v>
      </c>
      <c r="H41" s="82">
        <f t="shared" si="1"/>
        <v>10725</v>
      </c>
      <c r="I41" s="1"/>
      <c r="J41" s="81" t="s">
        <v>214</v>
      </c>
      <c r="K41" s="128">
        <f>Salaries!N9</f>
        <v>82500</v>
      </c>
      <c r="L41" s="82">
        <f t="shared" si="2"/>
        <v>11550.000000000002</v>
      </c>
      <c r="M41" s="1"/>
      <c r="N41" s="81" t="s">
        <v>214</v>
      </c>
      <c r="O41" s="128">
        <f>Salaries!N9</f>
        <v>82500</v>
      </c>
      <c r="P41" s="82">
        <f t="shared" si="3"/>
        <v>12375</v>
      </c>
      <c r="Q41" s="1"/>
      <c r="R41" s="81" t="s">
        <v>214</v>
      </c>
      <c r="S41" s="128">
        <f>Salaries!N9</f>
        <v>82500</v>
      </c>
      <c r="T41" s="82">
        <f t="shared" si="4"/>
        <v>13200</v>
      </c>
    </row>
    <row r="42" spans="2:20" ht="15" x14ac:dyDescent="0.25">
      <c r="B42" s="81" t="s">
        <v>216</v>
      </c>
      <c r="C42" s="128">
        <f>Salaries!N10</f>
        <v>82500</v>
      </c>
      <c r="D42" s="82">
        <f t="shared" si="0"/>
        <v>9900</v>
      </c>
      <c r="E42" s="1"/>
      <c r="F42" s="81" t="s">
        <v>216</v>
      </c>
      <c r="G42" s="128">
        <f>Salaries!N10</f>
        <v>82500</v>
      </c>
      <c r="H42" s="82">
        <f t="shared" si="1"/>
        <v>10725</v>
      </c>
      <c r="I42" s="1"/>
      <c r="J42" s="81" t="s">
        <v>216</v>
      </c>
      <c r="K42" s="128">
        <f>Salaries!N10</f>
        <v>82500</v>
      </c>
      <c r="L42" s="82">
        <f t="shared" si="2"/>
        <v>11550.000000000002</v>
      </c>
      <c r="M42" s="1"/>
      <c r="N42" s="81" t="s">
        <v>216</v>
      </c>
      <c r="O42" s="128">
        <f>Salaries!N10</f>
        <v>82500</v>
      </c>
      <c r="P42" s="82">
        <f t="shared" si="3"/>
        <v>12375</v>
      </c>
      <c r="Q42" s="1"/>
      <c r="R42" s="81" t="s">
        <v>216</v>
      </c>
      <c r="S42" s="128">
        <f>Salaries!N10</f>
        <v>82500</v>
      </c>
      <c r="T42" s="82">
        <f t="shared" si="4"/>
        <v>13200</v>
      </c>
    </row>
    <row r="43" spans="2:20" ht="15" x14ac:dyDescent="0.25">
      <c r="B43" s="81"/>
      <c r="C43" s="128"/>
      <c r="D43" s="82"/>
      <c r="E43" s="1"/>
      <c r="F43" s="81"/>
      <c r="G43" s="128"/>
      <c r="H43" s="82"/>
      <c r="I43" s="1"/>
      <c r="J43" s="81" t="s">
        <v>249</v>
      </c>
      <c r="K43" s="128">
        <f>Salaries!N30</f>
        <v>25000</v>
      </c>
      <c r="L43" s="82">
        <f t="shared" si="2"/>
        <v>3500.0000000000005</v>
      </c>
      <c r="M43" s="1"/>
      <c r="N43" s="81" t="s">
        <v>249</v>
      </c>
      <c r="O43" s="128">
        <f>Salaries!N30</f>
        <v>25000</v>
      </c>
      <c r="P43" s="82">
        <f>O43*$P$8</f>
        <v>3750</v>
      </c>
      <c r="Q43" s="1"/>
      <c r="R43" s="81" t="s">
        <v>249</v>
      </c>
      <c r="S43" s="128">
        <f>Salaries!N30</f>
        <v>25000</v>
      </c>
      <c r="T43" s="82">
        <f>S43*$T$8</f>
        <v>4000</v>
      </c>
    </row>
    <row r="44" spans="2:20" ht="15" x14ac:dyDescent="0.25">
      <c r="B44" s="81"/>
      <c r="C44" s="128"/>
      <c r="D44" s="82"/>
      <c r="E44" s="1"/>
      <c r="F44" s="81"/>
      <c r="G44" s="128"/>
      <c r="H44" s="82"/>
      <c r="I44" s="1"/>
      <c r="J44" s="81" t="s">
        <v>249</v>
      </c>
      <c r="K44" s="128">
        <f>Salaries!N31</f>
        <v>25000</v>
      </c>
      <c r="L44" s="82">
        <f>K44*$L$8</f>
        <v>3500.0000000000005</v>
      </c>
      <c r="M44" s="1"/>
      <c r="N44" s="81" t="s">
        <v>249</v>
      </c>
      <c r="O44" s="128">
        <f>Salaries!N31</f>
        <v>25000</v>
      </c>
      <c r="P44" s="82">
        <f>O44*$P$8</f>
        <v>3750</v>
      </c>
      <c r="Q44" s="1"/>
      <c r="R44" s="81" t="s">
        <v>249</v>
      </c>
      <c r="S44" s="128">
        <f>Salaries!N31</f>
        <v>25000</v>
      </c>
      <c r="T44" s="82">
        <f>S44*$T$8</f>
        <v>4000</v>
      </c>
    </row>
    <row r="45" spans="2:20" x14ac:dyDescent="0.2">
      <c r="B45" s="1" t="s">
        <v>217</v>
      </c>
      <c r="C45" s="130">
        <f>SUM(C37:C42)</f>
        <v>587500</v>
      </c>
      <c r="D45" s="169">
        <f>SUM(D37:D42)</f>
        <v>70500</v>
      </c>
      <c r="E45" s="1"/>
      <c r="F45" s="1" t="s">
        <v>217</v>
      </c>
      <c r="G45" s="168">
        <f>SUM(G37:G42)</f>
        <v>587500</v>
      </c>
      <c r="H45" s="131">
        <f>SUM(H37:H42)</f>
        <v>76375</v>
      </c>
      <c r="I45" s="1"/>
      <c r="J45" s="1" t="s">
        <v>217</v>
      </c>
      <c r="K45" s="168">
        <f>SUM(K37:K44)</f>
        <v>637500</v>
      </c>
      <c r="L45" s="131">
        <f>SUM(L37:L44)</f>
        <v>89250.000000000015</v>
      </c>
      <c r="M45" s="1"/>
      <c r="N45" s="1" t="s">
        <v>217</v>
      </c>
      <c r="O45" s="168">
        <f>SUM(O37:O44)</f>
        <v>637500</v>
      </c>
      <c r="P45" s="131">
        <f>SUM(P37:P44)</f>
        <v>95625</v>
      </c>
      <c r="Q45" s="1"/>
      <c r="R45" s="1" t="s">
        <v>217</v>
      </c>
      <c r="S45" s="168">
        <f>SUM(S37:S44)</f>
        <v>637500</v>
      </c>
      <c r="T45" s="131">
        <f>SUM(T37:T44)</f>
        <v>102000</v>
      </c>
    </row>
    <row r="46" spans="2:20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2:20" ht="15" x14ac:dyDescent="0.2">
      <c r="B47" s="262" t="s">
        <v>196</v>
      </c>
      <c r="C47" s="262"/>
      <c r="D47" s="262"/>
      <c r="E47" s="1"/>
      <c r="F47" s="262" t="s">
        <v>196</v>
      </c>
      <c r="G47" s="262"/>
      <c r="H47" s="262"/>
      <c r="I47" s="1"/>
      <c r="J47" s="262" t="s">
        <v>196</v>
      </c>
      <c r="K47" s="262"/>
      <c r="L47" s="262"/>
      <c r="M47" s="1"/>
      <c r="N47" s="262" t="s">
        <v>196</v>
      </c>
      <c r="O47" s="262"/>
      <c r="P47" s="262"/>
      <c r="Q47" s="1"/>
      <c r="R47" s="262" t="s">
        <v>196</v>
      </c>
      <c r="S47" s="262"/>
      <c r="T47" s="262"/>
    </row>
    <row r="48" spans="2:20" ht="15" x14ac:dyDescent="0.25">
      <c r="B48" s="81" t="s">
        <v>199</v>
      </c>
      <c r="C48" s="128">
        <f>Salaries!Q5</f>
        <v>185000</v>
      </c>
      <c r="D48" s="82">
        <f t="shared" ref="D48:D53" si="5">C48*$D$8</f>
        <v>22200</v>
      </c>
      <c r="E48" s="1"/>
      <c r="F48" s="81" t="s">
        <v>199</v>
      </c>
      <c r="G48" s="128">
        <f>Salaries!Q5</f>
        <v>185000</v>
      </c>
      <c r="H48" s="82">
        <f t="shared" ref="H48:H53" si="6">G48*$H$8</f>
        <v>24050</v>
      </c>
      <c r="I48" s="1"/>
      <c r="J48" s="81" t="s">
        <v>199</v>
      </c>
      <c r="K48" s="128">
        <f>Salaries!Q5</f>
        <v>185000</v>
      </c>
      <c r="L48" s="82">
        <f t="shared" ref="L48:L53" si="7">K48*$L$8</f>
        <v>25900.000000000004</v>
      </c>
      <c r="M48" s="1"/>
      <c r="N48" s="81" t="s">
        <v>199</v>
      </c>
      <c r="O48" s="128">
        <f>Salaries!Q5</f>
        <v>185000</v>
      </c>
      <c r="P48" s="82">
        <f t="shared" ref="P48:P53" si="8">O48*$P$8</f>
        <v>27750</v>
      </c>
      <c r="Q48" s="1"/>
      <c r="R48" s="81" t="s">
        <v>199</v>
      </c>
      <c r="S48" s="128">
        <f>Salaries!Q5</f>
        <v>185000</v>
      </c>
      <c r="T48" s="82">
        <f t="shared" ref="T48:T54" si="9">S48*$T$8</f>
        <v>29600</v>
      </c>
    </row>
    <row r="49" spans="2:20" ht="15" x14ac:dyDescent="0.25">
      <c r="B49" s="81" t="s">
        <v>204</v>
      </c>
      <c r="C49" s="128">
        <f>Salaries!Q6</f>
        <v>100000</v>
      </c>
      <c r="D49" s="82">
        <f t="shared" si="5"/>
        <v>12000</v>
      </c>
      <c r="E49" s="1"/>
      <c r="F49" s="81" t="s">
        <v>204</v>
      </c>
      <c r="G49" s="128">
        <f>Salaries!Q6</f>
        <v>100000</v>
      </c>
      <c r="H49" s="82">
        <f t="shared" si="6"/>
        <v>13000</v>
      </c>
      <c r="I49" s="1"/>
      <c r="J49" s="81" t="s">
        <v>204</v>
      </c>
      <c r="K49" s="128">
        <f>Salaries!Q6</f>
        <v>100000</v>
      </c>
      <c r="L49" s="82">
        <f t="shared" si="7"/>
        <v>14000.000000000002</v>
      </c>
      <c r="M49" s="1"/>
      <c r="N49" s="81" t="s">
        <v>204</v>
      </c>
      <c r="O49" s="128">
        <f>Salaries!Q6</f>
        <v>100000</v>
      </c>
      <c r="P49" s="82">
        <f t="shared" si="8"/>
        <v>15000</v>
      </c>
      <c r="Q49" s="1"/>
      <c r="R49" s="81" t="s">
        <v>204</v>
      </c>
      <c r="S49" s="128">
        <f>Salaries!Q6</f>
        <v>100000</v>
      </c>
      <c r="T49" s="82">
        <f t="shared" si="9"/>
        <v>16000</v>
      </c>
    </row>
    <row r="50" spans="2:20" ht="15" x14ac:dyDescent="0.25">
      <c r="B50" s="81" t="s">
        <v>210</v>
      </c>
      <c r="C50" s="128">
        <f>Salaries!Q7</f>
        <v>95000</v>
      </c>
      <c r="D50" s="82">
        <f t="shared" si="5"/>
        <v>11400</v>
      </c>
      <c r="E50" s="1"/>
      <c r="F50" s="81" t="s">
        <v>210</v>
      </c>
      <c r="G50" s="128">
        <f>Salaries!Q7</f>
        <v>95000</v>
      </c>
      <c r="H50" s="82">
        <f t="shared" si="6"/>
        <v>12350</v>
      </c>
      <c r="I50" s="1"/>
      <c r="J50" s="81" t="s">
        <v>210</v>
      </c>
      <c r="K50" s="128">
        <f>Salaries!Q7</f>
        <v>95000</v>
      </c>
      <c r="L50" s="82">
        <f t="shared" si="7"/>
        <v>13300.000000000002</v>
      </c>
      <c r="M50" s="1"/>
      <c r="N50" s="81" t="s">
        <v>210</v>
      </c>
      <c r="O50" s="128">
        <f>Salaries!Q7</f>
        <v>95000</v>
      </c>
      <c r="P50" s="82">
        <f t="shared" si="8"/>
        <v>14250</v>
      </c>
      <c r="Q50" s="1"/>
      <c r="R50" s="81" t="s">
        <v>210</v>
      </c>
      <c r="S50" s="128">
        <f>Salaries!Q7</f>
        <v>95000</v>
      </c>
      <c r="T50" s="82">
        <f t="shared" si="9"/>
        <v>15200</v>
      </c>
    </row>
    <row r="51" spans="2:20" ht="15" x14ac:dyDescent="0.25">
      <c r="B51" s="81" t="s">
        <v>140</v>
      </c>
      <c r="C51" s="128">
        <f>Salaries!Q8</f>
        <v>90000</v>
      </c>
      <c r="D51" s="82">
        <f t="shared" si="5"/>
        <v>10800</v>
      </c>
      <c r="E51" s="1"/>
      <c r="F51" s="81" t="s">
        <v>140</v>
      </c>
      <c r="G51" s="128">
        <f>Salaries!Q8</f>
        <v>90000</v>
      </c>
      <c r="H51" s="82">
        <f t="shared" si="6"/>
        <v>11700</v>
      </c>
      <c r="I51" s="1"/>
      <c r="J51" s="81" t="s">
        <v>140</v>
      </c>
      <c r="K51" s="128">
        <f>Salaries!Q8</f>
        <v>90000</v>
      </c>
      <c r="L51" s="82">
        <f t="shared" si="7"/>
        <v>12600.000000000002</v>
      </c>
      <c r="M51" s="1"/>
      <c r="N51" s="81" t="s">
        <v>140</v>
      </c>
      <c r="O51" s="128">
        <f>Salaries!Q8</f>
        <v>90000</v>
      </c>
      <c r="P51" s="82">
        <f t="shared" si="8"/>
        <v>13500</v>
      </c>
      <c r="Q51" s="1"/>
      <c r="R51" s="81" t="s">
        <v>140</v>
      </c>
      <c r="S51" s="128">
        <f>Salaries!Q8</f>
        <v>90000</v>
      </c>
      <c r="T51" s="82">
        <f t="shared" si="9"/>
        <v>14400</v>
      </c>
    </row>
    <row r="52" spans="2:20" ht="15" x14ac:dyDescent="0.25">
      <c r="B52" s="81" t="s">
        <v>215</v>
      </c>
      <c r="C52" s="128">
        <f>Salaries!Q9</f>
        <v>75000</v>
      </c>
      <c r="D52" s="82">
        <f t="shared" si="5"/>
        <v>9000</v>
      </c>
      <c r="E52" s="1"/>
      <c r="F52" s="81" t="s">
        <v>215</v>
      </c>
      <c r="G52" s="128">
        <f>Salaries!Q9</f>
        <v>75000</v>
      </c>
      <c r="H52" s="82">
        <f t="shared" si="6"/>
        <v>9750</v>
      </c>
      <c r="I52" s="1"/>
      <c r="J52" s="81" t="s">
        <v>215</v>
      </c>
      <c r="K52" s="128">
        <f>Salaries!Q9</f>
        <v>75000</v>
      </c>
      <c r="L52" s="82">
        <f t="shared" si="7"/>
        <v>10500.000000000002</v>
      </c>
      <c r="M52" s="1"/>
      <c r="N52" s="81" t="s">
        <v>215</v>
      </c>
      <c r="O52" s="128">
        <f>Salaries!Q9</f>
        <v>75000</v>
      </c>
      <c r="P52" s="82">
        <f t="shared" si="8"/>
        <v>11250</v>
      </c>
      <c r="Q52" s="1"/>
      <c r="R52" s="81" t="s">
        <v>215</v>
      </c>
      <c r="S52" s="128">
        <f>Salaries!Q9</f>
        <v>75000</v>
      </c>
      <c r="T52" s="82">
        <f t="shared" si="9"/>
        <v>12000</v>
      </c>
    </row>
    <row r="53" spans="2:20" ht="15" x14ac:dyDescent="0.25">
      <c r="B53" s="81" t="s">
        <v>359</v>
      </c>
      <c r="C53" s="128">
        <f>Salaries!Q10</f>
        <v>75000</v>
      </c>
      <c r="D53" s="82">
        <f t="shared" si="5"/>
        <v>9000</v>
      </c>
      <c r="E53" s="1"/>
      <c r="F53" s="81" t="s">
        <v>359</v>
      </c>
      <c r="G53" s="128">
        <f>Salaries!Q10</f>
        <v>75000</v>
      </c>
      <c r="H53" s="82">
        <f t="shared" si="6"/>
        <v>9750</v>
      </c>
      <c r="I53" s="1"/>
      <c r="J53" s="81" t="s">
        <v>359</v>
      </c>
      <c r="K53" s="128">
        <f>Salaries!Q10</f>
        <v>75000</v>
      </c>
      <c r="L53" s="82">
        <f t="shared" si="7"/>
        <v>10500.000000000002</v>
      </c>
      <c r="M53" s="1"/>
      <c r="N53" s="81" t="s">
        <v>359</v>
      </c>
      <c r="O53" s="128">
        <f>Salaries!Q10</f>
        <v>75000</v>
      </c>
      <c r="P53" s="82">
        <f t="shared" si="8"/>
        <v>11250</v>
      </c>
      <c r="Q53" s="1"/>
      <c r="R53" s="81" t="s">
        <v>359</v>
      </c>
      <c r="S53" s="128">
        <f>Salaries!Q10</f>
        <v>75000</v>
      </c>
      <c r="T53" s="82">
        <f t="shared" si="9"/>
        <v>12000</v>
      </c>
    </row>
    <row r="54" spans="2:20" ht="15" x14ac:dyDescent="0.25">
      <c r="B54" s="81"/>
      <c r="C54" s="128"/>
      <c r="D54" s="82"/>
      <c r="E54" s="1"/>
      <c r="F54" s="81"/>
      <c r="G54" s="128"/>
      <c r="H54" s="82"/>
      <c r="I54" s="1"/>
      <c r="J54" s="81" t="s">
        <v>250</v>
      </c>
      <c r="K54" s="128">
        <f>Salaries!Q30</f>
        <v>63800</v>
      </c>
      <c r="L54" s="82">
        <f>K54*$L$8</f>
        <v>8932</v>
      </c>
      <c r="M54" s="1"/>
      <c r="N54" s="81" t="s">
        <v>250</v>
      </c>
      <c r="O54" s="128">
        <f>Salaries!Q30</f>
        <v>63800</v>
      </c>
      <c r="P54" s="82">
        <f>O54*$P$8</f>
        <v>9570</v>
      </c>
      <c r="Q54" s="1"/>
      <c r="R54" s="81" t="s">
        <v>250</v>
      </c>
      <c r="S54" s="128">
        <f>Salaries!Q30</f>
        <v>63800</v>
      </c>
      <c r="T54" s="82">
        <f t="shared" si="9"/>
        <v>10208</v>
      </c>
    </row>
    <row r="55" spans="2:20" x14ac:dyDescent="0.2">
      <c r="B55" s="1" t="s">
        <v>217</v>
      </c>
      <c r="C55" s="130">
        <f>SUM(C48:C53)</f>
        <v>620000</v>
      </c>
      <c r="D55" s="169">
        <f>SUM(D48:D53)</f>
        <v>74400</v>
      </c>
      <c r="E55" s="1"/>
      <c r="F55" s="1" t="s">
        <v>217</v>
      </c>
      <c r="G55" s="168">
        <f>SUM(G48:G53)</f>
        <v>620000</v>
      </c>
      <c r="H55" s="131">
        <f>SUM(H48:H53)</f>
        <v>80600</v>
      </c>
      <c r="I55" s="1"/>
      <c r="J55" s="1" t="s">
        <v>217</v>
      </c>
      <c r="K55" s="168">
        <f>SUM(K48:K54)</f>
        <v>683800</v>
      </c>
      <c r="L55" s="131">
        <f>SUM(L48:L54)</f>
        <v>95732.000000000015</v>
      </c>
      <c r="M55" s="1"/>
      <c r="N55" s="1" t="s">
        <v>217</v>
      </c>
      <c r="O55" s="168">
        <f>SUM(O48:O54)</f>
        <v>683800</v>
      </c>
      <c r="P55" s="131">
        <f>SUM(P48:P54)</f>
        <v>102570</v>
      </c>
      <c r="Q55" s="1"/>
      <c r="R55" s="1" t="s">
        <v>217</v>
      </c>
      <c r="S55" s="168">
        <f>SUM(S48:S54)</f>
        <v>683800</v>
      </c>
      <c r="T55" s="131">
        <f>SUM(T48:T54)</f>
        <v>109408</v>
      </c>
    </row>
    <row r="56" spans="2:20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 ht="15" x14ac:dyDescent="0.2">
      <c r="B57" s="262" t="s">
        <v>197</v>
      </c>
      <c r="C57" s="262"/>
      <c r="D57" s="262"/>
      <c r="E57" s="1"/>
      <c r="F57" s="262" t="s">
        <v>197</v>
      </c>
      <c r="G57" s="262"/>
      <c r="H57" s="262"/>
      <c r="I57" s="1"/>
      <c r="J57" s="262" t="s">
        <v>197</v>
      </c>
      <c r="K57" s="262"/>
      <c r="L57" s="262"/>
      <c r="M57" s="1"/>
      <c r="N57" s="262" t="s">
        <v>197</v>
      </c>
      <c r="O57" s="262"/>
      <c r="P57" s="262"/>
      <c r="Q57" s="1"/>
      <c r="R57" s="262" t="s">
        <v>197</v>
      </c>
      <c r="S57" s="262"/>
      <c r="T57" s="262"/>
    </row>
    <row r="58" spans="2:20" ht="15" x14ac:dyDescent="0.25">
      <c r="B58" s="81" t="s">
        <v>143</v>
      </c>
      <c r="C58" s="128">
        <f>Salaries!T5</f>
        <v>175000</v>
      </c>
      <c r="D58" s="82">
        <f>C58*$D$8</f>
        <v>21000</v>
      </c>
      <c r="E58" s="1"/>
      <c r="F58" s="81" t="s">
        <v>143</v>
      </c>
      <c r="G58" s="128">
        <f>Salaries!T5</f>
        <v>175000</v>
      </c>
      <c r="H58" s="82">
        <f>G58*$H$8</f>
        <v>22750</v>
      </c>
      <c r="I58" s="1"/>
      <c r="J58" s="81" t="s">
        <v>143</v>
      </c>
      <c r="K58" s="128">
        <f>Salaries!T5</f>
        <v>175000</v>
      </c>
      <c r="L58" s="82">
        <f>K58*$L$8</f>
        <v>24500.000000000004</v>
      </c>
      <c r="M58" s="1"/>
      <c r="N58" s="81" t="s">
        <v>143</v>
      </c>
      <c r="O58" s="128">
        <f>Salaries!T5</f>
        <v>175000</v>
      </c>
      <c r="P58" s="82">
        <f>O58*$P$8</f>
        <v>26250</v>
      </c>
      <c r="Q58" s="1"/>
      <c r="R58" s="81" t="s">
        <v>143</v>
      </c>
      <c r="S58" s="128">
        <f>Salaries!T5</f>
        <v>175000</v>
      </c>
      <c r="T58" s="82">
        <f>S58*$T$8</f>
        <v>28000</v>
      </c>
    </row>
    <row r="59" spans="2:20" ht="15" x14ac:dyDescent="0.25">
      <c r="B59" s="81" t="s">
        <v>205</v>
      </c>
      <c r="C59" s="128">
        <f>Salaries!T6</f>
        <v>60000</v>
      </c>
      <c r="D59" s="82">
        <f>C59*$D$8</f>
        <v>7200</v>
      </c>
      <c r="E59" s="1"/>
      <c r="F59" s="81" t="s">
        <v>205</v>
      </c>
      <c r="G59" s="128">
        <f>Salaries!T6</f>
        <v>60000</v>
      </c>
      <c r="H59" s="82">
        <f>G59*$H$8</f>
        <v>7800</v>
      </c>
      <c r="I59" s="1"/>
      <c r="J59" s="81" t="s">
        <v>205</v>
      </c>
      <c r="K59" s="128">
        <f>Salaries!T6</f>
        <v>60000</v>
      </c>
      <c r="L59" s="82">
        <f>K59*$L$8</f>
        <v>8400</v>
      </c>
      <c r="M59" s="1"/>
      <c r="N59" s="81" t="s">
        <v>205</v>
      </c>
      <c r="O59" s="128">
        <f>Salaries!T6</f>
        <v>60000</v>
      </c>
      <c r="P59" s="82">
        <f>O59*$P$8</f>
        <v>9000</v>
      </c>
      <c r="Q59" s="1"/>
      <c r="R59" s="81" t="s">
        <v>205</v>
      </c>
      <c r="S59" s="128">
        <f>Salaries!T6</f>
        <v>60000</v>
      </c>
      <c r="T59" s="82">
        <f>S59*$T$8</f>
        <v>9600</v>
      </c>
    </row>
    <row r="60" spans="2:20" ht="15" x14ac:dyDescent="0.25">
      <c r="B60" s="81" t="s">
        <v>211</v>
      </c>
      <c r="C60" s="128">
        <f>Salaries!T7</f>
        <v>60000</v>
      </c>
      <c r="D60" s="82">
        <f>C60*$D$8</f>
        <v>7200</v>
      </c>
      <c r="E60" s="1"/>
      <c r="F60" s="81" t="s">
        <v>211</v>
      </c>
      <c r="G60" s="128">
        <f>Salaries!T7</f>
        <v>60000</v>
      </c>
      <c r="H60" s="82">
        <f>G60*$H$8</f>
        <v>7800</v>
      </c>
      <c r="I60" s="1"/>
      <c r="J60" s="81" t="s">
        <v>211</v>
      </c>
      <c r="K60" s="128">
        <f>Salaries!T7</f>
        <v>60000</v>
      </c>
      <c r="L60" s="82">
        <f>K60*$L$8</f>
        <v>8400</v>
      </c>
      <c r="M60" s="1"/>
      <c r="N60" s="81" t="s">
        <v>211</v>
      </c>
      <c r="O60" s="128">
        <f>Salaries!T7</f>
        <v>60000</v>
      </c>
      <c r="P60" s="82">
        <f>O60*$P$8</f>
        <v>9000</v>
      </c>
      <c r="Q60" s="1"/>
      <c r="R60" s="81" t="s">
        <v>211</v>
      </c>
      <c r="S60" s="128">
        <f>Salaries!T7</f>
        <v>60000</v>
      </c>
      <c r="T60" s="82">
        <f>S60*$T$8</f>
        <v>9600</v>
      </c>
    </row>
    <row r="61" spans="2:20" ht="15" x14ac:dyDescent="0.25">
      <c r="B61" s="83"/>
      <c r="C61" s="102"/>
      <c r="D61" s="82"/>
      <c r="E61" s="1"/>
      <c r="F61" s="83"/>
      <c r="G61" s="102"/>
      <c r="H61" s="82"/>
      <c r="I61" s="1"/>
      <c r="J61" s="81" t="s">
        <v>251</v>
      </c>
      <c r="K61" s="171">
        <f>Salaries!T27</f>
        <v>63800</v>
      </c>
      <c r="L61" s="82">
        <f>K61*$L$8</f>
        <v>8932</v>
      </c>
      <c r="M61" s="1"/>
      <c r="N61" s="81" t="s">
        <v>251</v>
      </c>
      <c r="O61" s="171">
        <f>Salaries!T27</f>
        <v>63800</v>
      </c>
      <c r="P61" s="82">
        <f>O61*$P$8</f>
        <v>9570</v>
      </c>
      <c r="Q61" s="1"/>
      <c r="R61" s="81" t="s">
        <v>251</v>
      </c>
      <c r="S61" s="171">
        <f>Salaries!T27</f>
        <v>63800</v>
      </c>
      <c r="T61" s="82">
        <f>S61*$T$8</f>
        <v>10208</v>
      </c>
    </row>
    <row r="62" spans="2:20" x14ac:dyDescent="0.2">
      <c r="B62" s="83"/>
      <c r="C62" s="102"/>
      <c r="D62" s="82"/>
      <c r="E62" s="1"/>
      <c r="F62" s="83"/>
      <c r="G62" s="102"/>
      <c r="H62" s="82"/>
      <c r="I62" s="1"/>
      <c r="J62" s="83"/>
      <c r="K62" s="102"/>
      <c r="L62" s="82"/>
      <c r="M62" s="1"/>
      <c r="N62" s="83"/>
      <c r="O62" s="102"/>
      <c r="P62" s="82"/>
      <c r="Q62" s="1"/>
      <c r="R62" s="83"/>
      <c r="S62" s="102"/>
      <c r="T62" s="82"/>
    </row>
    <row r="63" spans="2:20" x14ac:dyDescent="0.2">
      <c r="B63" s="83"/>
      <c r="C63" s="102"/>
      <c r="D63" s="82"/>
      <c r="E63" s="1"/>
      <c r="F63" s="83"/>
      <c r="G63" s="102"/>
      <c r="H63" s="82"/>
      <c r="I63" s="1"/>
      <c r="J63" s="83"/>
      <c r="K63" s="102"/>
      <c r="L63" s="82"/>
      <c r="M63" s="1"/>
      <c r="N63" s="83"/>
      <c r="O63" s="102"/>
      <c r="P63" s="82"/>
      <c r="Q63" s="1"/>
      <c r="R63" s="83"/>
      <c r="S63" s="102"/>
      <c r="T63" s="82"/>
    </row>
    <row r="64" spans="2:20" x14ac:dyDescent="0.2">
      <c r="B64" s="1" t="s">
        <v>217</v>
      </c>
      <c r="C64" s="130">
        <f>SUM(C58:C63)</f>
        <v>295000</v>
      </c>
      <c r="D64" s="169">
        <f>SUM(D58:D63)</f>
        <v>35400</v>
      </c>
      <c r="E64" s="1"/>
      <c r="F64" s="1" t="s">
        <v>217</v>
      </c>
      <c r="G64" s="168">
        <f>SUM(G58:G63)</f>
        <v>295000</v>
      </c>
      <c r="H64" s="131">
        <f>SUM(H58:H63)</f>
        <v>38350</v>
      </c>
      <c r="I64" s="1"/>
      <c r="J64" s="1" t="s">
        <v>217</v>
      </c>
      <c r="K64" s="168">
        <f>SUM(K58:K63)</f>
        <v>358800</v>
      </c>
      <c r="L64" s="131">
        <f>SUM(L58:L63)</f>
        <v>50232</v>
      </c>
      <c r="M64" s="1"/>
      <c r="N64" s="1" t="s">
        <v>217</v>
      </c>
      <c r="O64" s="168">
        <f>SUM(O58:O63)</f>
        <v>358800</v>
      </c>
      <c r="P64" s="131">
        <f>SUM(P58:P63)</f>
        <v>53820</v>
      </c>
      <c r="Q64" s="1"/>
      <c r="R64" s="1" t="s">
        <v>217</v>
      </c>
      <c r="S64" s="168">
        <f>SUM(S58:S63)</f>
        <v>358800</v>
      </c>
      <c r="T64" s="131">
        <f>SUM(T58:T63)</f>
        <v>57408</v>
      </c>
    </row>
    <row r="65" spans="2:20" x14ac:dyDescent="0.2">
      <c r="B65" s="1"/>
      <c r="C65" s="80"/>
      <c r="D65" s="82"/>
      <c r="E65" s="1"/>
      <c r="F65" s="1"/>
      <c r="G65" s="80"/>
      <c r="H65" s="82"/>
      <c r="I65" s="1"/>
      <c r="J65" s="1"/>
      <c r="K65" s="80"/>
      <c r="L65" s="82"/>
      <c r="M65" s="1"/>
      <c r="N65" s="1"/>
      <c r="O65" s="80"/>
      <c r="P65" s="82"/>
      <c r="Q65" s="1"/>
      <c r="R65" s="1"/>
      <c r="S65" s="80"/>
      <c r="T65" s="82"/>
    </row>
    <row r="66" spans="2:20" ht="15" x14ac:dyDescent="0.2">
      <c r="B66" s="262" t="s">
        <v>193</v>
      </c>
      <c r="C66" s="262"/>
      <c r="D66" s="262"/>
      <c r="E66" s="1"/>
      <c r="F66" s="262" t="s">
        <v>193</v>
      </c>
      <c r="G66" s="262"/>
      <c r="H66" s="262"/>
      <c r="I66" s="1"/>
      <c r="J66" s="262" t="s">
        <v>193</v>
      </c>
      <c r="K66" s="262"/>
      <c r="L66" s="262"/>
      <c r="M66" s="1"/>
      <c r="N66" s="262" t="s">
        <v>193</v>
      </c>
      <c r="O66" s="262"/>
      <c r="P66" s="262"/>
      <c r="Q66" s="1"/>
      <c r="R66" s="262" t="s">
        <v>193</v>
      </c>
      <c r="S66" s="262"/>
      <c r="T66" s="262"/>
    </row>
    <row r="67" spans="2:20" ht="15" x14ac:dyDescent="0.25">
      <c r="B67" s="81" t="s">
        <v>131</v>
      </c>
      <c r="C67" s="129">
        <f>Salaries!B5</f>
        <v>190000</v>
      </c>
      <c r="D67" s="82">
        <f>C67*$D$8</f>
        <v>22800</v>
      </c>
      <c r="E67" s="1"/>
      <c r="F67" s="81" t="s">
        <v>131</v>
      </c>
      <c r="G67" s="129">
        <f>Salaries!B5</f>
        <v>190000</v>
      </c>
      <c r="H67" s="82">
        <f>G67*$H$8</f>
        <v>24700</v>
      </c>
      <c r="I67" s="1"/>
      <c r="J67" s="81" t="s">
        <v>131</v>
      </c>
      <c r="K67" s="129">
        <f>Salaries!B5</f>
        <v>190000</v>
      </c>
      <c r="L67" s="82">
        <f>K67*$L$8</f>
        <v>26600.000000000004</v>
      </c>
      <c r="M67" s="1"/>
      <c r="N67" s="81" t="s">
        <v>131</v>
      </c>
      <c r="O67" s="129">
        <f>Salaries!B5</f>
        <v>190000</v>
      </c>
      <c r="P67" s="82">
        <f>O67*$P$8</f>
        <v>28500</v>
      </c>
      <c r="Q67" s="1"/>
      <c r="R67" s="81" t="s">
        <v>131</v>
      </c>
      <c r="S67" s="129">
        <f>Salaries!B5</f>
        <v>190000</v>
      </c>
      <c r="T67" s="82">
        <f>S67*$T$8</f>
        <v>30400</v>
      </c>
    </row>
    <row r="68" spans="2:20" x14ac:dyDescent="0.2">
      <c r="B68" s="1"/>
      <c r="C68" s="129"/>
      <c r="D68" s="80"/>
      <c r="E68" s="1"/>
      <c r="F68" s="1"/>
      <c r="G68" s="129"/>
      <c r="H68" s="80"/>
      <c r="I68" s="1"/>
      <c r="J68" s="1"/>
      <c r="K68" s="129"/>
      <c r="L68" s="80"/>
      <c r="M68" s="1"/>
      <c r="N68" s="1"/>
      <c r="O68" s="129"/>
      <c r="P68" s="80"/>
      <c r="Q68" s="1"/>
      <c r="R68" s="1"/>
      <c r="S68" s="129"/>
      <c r="T68" s="80"/>
    </row>
    <row r="69" spans="2:20" x14ac:dyDescent="0.2">
      <c r="B69" s="1"/>
      <c r="C69" s="129"/>
      <c r="D69" s="80"/>
      <c r="E69" s="1"/>
      <c r="F69" s="1"/>
      <c r="G69" s="129"/>
      <c r="H69" s="80"/>
      <c r="I69" s="1"/>
      <c r="J69" s="1"/>
      <c r="K69" s="129"/>
      <c r="L69" s="80"/>
      <c r="M69" s="1"/>
      <c r="N69" s="1"/>
      <c r="O69" s="129"/>
      <c r="P69" s="80"/>
      <c r="Q69" s="1"/>
      <c r="R69" s="1"/>
      <c r="S69" s="129"/>
      <c r="T69" s="80"/>
    </row>
    <row r="70" spans="2:20" x14ac:dyDescent="0.2">
      <c r="B70" s="1"/>
      <c r="C70" s="129"/>
      <c r="D70" s="80"/>
      <c r="E70" s="1"/>
      <c r="F70" s="1"/>
      <c r="G70" s="129"/>
      <c r="H70" s="80"/>
      <c r="I70" s="1"/>
      <c r="J70" s="1"/>
      <c r="K70" s="129"/>
      <c r="L70" s="80"/>
      <c r="M70" s="1"/>
      <c r="N70" s="1"/>
      <c r="O70" s="129"/>
      <c r="P70" s="80"/>
      <c r="Q70" s="1"/>
      <c r="R70" s="1"/>
      <c r="S70" s="129"/>
      <c r="T70" s="80"/>
    </row>
    <row r="71" spans="2:20" x14ac:dyDescent="0.2">
      <c r="B71" s="1"/>
      <c r="C71" s="129"/>
      <c r="D71" s="80"/>
      <c r="E71" s="1"/>
      <c r="F71" s="1"/>
      <c r="G71" s="129"/>
      <c r="H71" s="80"/>
      <c r="I71" s="1"/>
      <c r="J71" s="1"/>
      <c r="K71" s="129"/>
      <c r="L71" s="80"/>
      <c r="M71" s="1"/>
      <c r="N71" s="1"/>
      <c r="O71" s="129"/>
      <c r="P71" s="80"/>
      <c r="Q71" s="1"/>
      <c r="R71" s="1"/>
      <c r="S71" s="129"/>
      <c r="T71" s="80"/>
    </row>
    <row r="72" spans="2:20" x14ac:dyDescent="0.2">
      <c r="B72" s="1"/>
      <c r="C72" s="129"/>
      <c r="D72" s="80"/>
      <c r="E72" s="1"/>
      <c r="F72" s="1"/>
      <c r="G72" s="129"/>
      <c r="H72" s="80"/>
      <c r="I72" s="1"/>
      <c r="J72" s="1"/>
      <c r="K72" s="129"/>
      <c r="L72" s="80"/>
      <c r="M72" s="1"/>
      <c r="N72" s="1"/>
      <c r="O72" s="129"/>
      <c r="P72" s="80"/>
      <c r="Q72" s="1"/>
      <c r="R72" s="1"/>
      <c r="S72" s="129"/>
      <c r="T72" s="80"/>
    </row>
    <row r="73" spans="2:20" x14ac:dyDescent="0.2">
      <c r="B73" s="1" t="s">
        <v>217</v>
      </c>
      <c r="C73" s="130">
        <f>SUM(C67:C72)</f>
        <v>190000</v>
      </c>
      <c r="D73" s="170">
        <f>SUM(D67:D72)</f>
        <v>22800</v>
      </c>
      <c r="E73" s="1"/>
      <c r="F73" s="1" t="s">
        <v>217</v>
      </c>
      <c r="G73" s="130">
        <f>SUM(G67:G72)</f>
        <v>190000</v>
      </c>
      <c r="H73" s="170">
        <f>SUM(H67:H72)</f>
        <v>24700</v>
      </c>
      <c r="I73" s="1"/>
      <c r="J73" s="1" t="s">
        <v>217</v>
      </c>
      <c r="K73" s="130">
        <f>SUM(K67:K72)</f>
        <v>190000</v>
      </c>
      <c r="L73" s="170">
        <f>SUM(L67:L72)</f>
        <v>26600.000000000004</v>
      </c>
      <c r="M73" s="1"/>
      <c r="N73" s="1" t="s">
        <v>217</v>
      </c>
      <c r="O73" s="130">
        <f>SUM(O67:O72)</f>
        <v>190000</v>
      </c>
      <c r="P73" s="170">
        <f>SUM(P67:P72)</f>
        <v>28500</v>
      </c>
      <c r="Q73" s="1"/>
      <c r="R73" s="1" t="s">
        <v>217</v>
      </c>
      <c r="S73" s="130">
        <f>SUM(S67:S72)</f>
        <v>190000</v>
      </c>
      <c r="T73" s="170">
        <f>SUM(T67:T72)</f>
        <v>30400</v>
      </c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 x14ac:dyDescent="0.2">
      <c r="B75" s="1"/>
    </row>
  </sheetData>
  <mergeCells count="41">
    <mergeCell ref="R47:T47"/>
    <mergeCell ref="R57:T57"/>
    <mergeCell ref="B66:D66"/>
    <mergeCell ref="F66:H66"/>
    <mergeCell ref="J66:L66"/>
    <mergeCell ref="N66:P66"/>
    <mergeCell ref="R66:T66"/>
    <mergeCell ref="J57:L57"/>
    <mergeCell ref="N57:P57"/>
    <mergeCell ref="J47:L47"/>
    <mergeCell ref="B57:D57"/>
    <mergeCell ref="N9:P9"/>
    <mergeCell ref="N18:P18"/>
    <mergeCell ref="N27:P27"/>
    <mergeCell ref="F57:H57"/>
    <mergeCell ref="J7:L7"/>
    <mergeCell ref="J9:L9"/>
    <mergeCell ref="J18:L18"/>
    <mergeCell ref="J27:L27"/>
    <mergeCell ref="J36:L36"/>
    <mergeCell ref="B9:D9"/>
    <mergeCell ref="B18:D18"/>
    <mergeCell ref="B27:D27"/>
    <mergeCell ref="B36:D36"/>
    <mergeCell ref="B47:D47"/>
    <mergeCell ref="B2:T2"/>
    <mergeCell ref="F18:H18"/>
    <mergeCell ref="F27:H27"/>
    <mergeCell ref="F36:H36"/>
    <mergeCell ref="F47:H47"/>
    <mergeCell ref="N36:P36"/>
    <mergeCell ref="N47:P47"/>
    <mergeCell ref="R7:T7"/>
    <mergeCell ref="R9:T9"/>
    <mergeCell ref="R18:T18"/>
    <mergeCell ref="R27:T27"/>
    <mergeCell ref="R36:T36"/>
    <mergeCell ref="B7:D7"/>
    <mergeCell ref="F7:H7"/>
    <mergeCell ref="F9:H9"/>
    <mergeCell ref="N7:P7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C709-2900-4E62-B8E2-6C76A5478383}">
  <sheetPr codeName="Sheet13"/>
  <dimension ref="B1:AC43"/>
  <sheetViews>
    <sheetView topLeftCell="E2" workbookViewId="0">
      <selection activeCell="O8" sqref="O8"/>
    </sheetView>
  </sheetViews>
  <sheetFormatPr defaultRowHeight="12.75" x14ac:dyDescent="0.2"/>
  <cols>
    <col min="5" max="5" width="11" bestFit="1" customWidth="1"/>
    <col min="11" max="11" width="10.7109375" bestFit="1" customWidth="1"/>
    <col min="17" max="17" width="10.7109375" bestFit="1" customWidth="1"/>
    <col min="23" max="23" width="10.7109375" bestFit="1" customWidth="1"/>
  </cols>
  <sheetData>
    <row r="1" spans="2:29" x14ac:dyDescent="0.2"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</row>
    <row r="2" spans="2:29" ht="12.75" customHeight="1" x14ac:dyDescent="0.2">
      <c r="B2" s="266" t="s">
        <v>253</v>
      </c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  <c r="S2" s="266"/>
      <c r="T2" s="266"/>
      <c r="U2" s="266"/>
      <c r="V2" s="266"/>
      <c r="W2" s="266"/>
      <c r="X2" s="172"/>
      <c r="Y2" s="172"/>
    </row>
    <row r="3" spans="2:29" x14ac:dyDescent="0.2"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</row>
    <row r="4" spans="2:29" ht="15.75" x14ac:dyDescent="0.25">
      <c r="C4" s="265" t="s">
        <v>94</v>
      </c>
      <c r="D4" s="265"/>
      <c r="E4" s="265"/>
      <c r="F4" s="172"/>
      <c r="G4" s="172"/>
      <c r="H4" s="172"/>
      <c r="I4" s="265" t="s">
        <v>102</v>
      </c>
      <c r="J4" s="265"/>
      <c r="K4" s="265"/>
      <c r="O4" s="265" t="s">
        <v>103</v>
      </c>
      <c r="P4" s="265"/>
      <c r="Q4" s="265"/>
      <c r="R4" s="172"/>
      <c r="S4" s="172"/>
      <c r="T4" s="172"/>
      <c r="U4" s="265" t="s">
        <v>104</v>
      </c>
      <c r="V4" s="265"/>
      <c r="W4" s="265"/>
      <c r="X4" s="172"/>
      <c r="Y4" s="172"/>
      <c r="Z4" s="172"/>
    </row>
    <row r="5" spans="2:29" ht="15" x14ac:dyDescent="0.25">
      <c r="C5" s="264" t="s">
        <v>254</v>
      </c>
      <c r="D5" s="264"/>
      <c r="E5" s="264"/>
      <c r="F5" s="172"/>
      <c r="G5" s="172"/>
      <c r="H5" s="172"/>
      <c r="I5" s="264" t="s">
        <v>268</v>
      </c>
      <c r="J5" s="264"/>
      <c r="K5" s="264"/>
      <c r="O5" s="264" t="s">
        <v>296</v>
      </c>
      <c r="P5" s="264"/>
      <c r="Q5" s="264"/>
      <c r="R5" s="172"/>
      <c r="S5" s="172"/>
      <c r="T5" s="172"/>
      <c r="U5" s="264" t="s">
        <v>306</v>
      </c>
      <c r="V5" s="264"/>
      <c r="W5" s="264"/>
      <c r="X5" s="172"/>
      <c r="Y5" s="172"/>
      <c r="Z5" s="172"/>
    </row>
    <row r="6" spans="2:29" x14ac:dyDescent="0.2">
      <c r="D6" s="176" t="s">
        <v>255</v>
      </c>
      <c r="F6" s="172"/>
      <c r="G6" s="172"/>
      <c r="H6" s="172"/>
      <c r="I6" s="172"/>
      <c r="J6" s="176" t="s">
        <v>269</v>
      </c>
      <c r="K6" s="174"/>
      <c r="O6" s="172"/>
      <c r="P6" s="173" t="s">
        <v>291</v>
      </c>
      <c r="Q6" s="174">
        <v>450</v>
      </c>
      <c r="R6" s="172"/>
      <c r="S6" s="172"/>
      <c r="T6" s="172"/>
      <c r="U6" s="172"/>
      <c r="V6" s="173" t="s">
        <v>307</v>
      </c>
      <c r="W6" s="174">
        <v>10000</v>
      </c>
      <c r="X6" s="172"/>
      <c r="Y6" s="172"/>
      <c r="Z6" s="172"/>
    </row>
    <row r="7" spans="2:29" x14ac:dyDescent="0.2">
      <c r="C7" s="172"/>
      <c r="D7" s="173" t="s">
        <v>256</v>
      </c>
      <c r="E7" s="175">
        <v>126</v>
      </c>
      <c r="F7" s="172"/>
      <c r="G7" s="172"/>
      <c r="H7" s="172"/>
      <c r="I7" s="172"/>
      <c r="J7" s="173" t="s">
        <v>271</v>
      </c>
      <c r="K7" s="174">
        <v>20000</v>
      </c>
      <c r="O7" s="172"/>
      <c r="P7" s="173" t="s">
        <v>292</v>
      </c>
      <c r="Q7" s="174">
        <v>3000</v>
      </c>
      <c r="R7" s="172"/>
      <c r="S7" s="172"/>
      <c r="T7" s="172"/>
      <c r="U7" s="172"/>
      <c r="V7" s="173" t="s">
        <v>308</v>
      </c>
      <c r="W7" s="174">
        <v>30000</v>
      </c>
      <c r="X7" s="172"/>
      <c r="Y7" s="172"/>
    </row>
    <row r="8" spans="2:29" x14ac:dyDescent="0.2">
      <c r="C8" s="172"/>
      <c r="D8" s="173" t="s">
        <v>257</v>
      </c>
      <c r="E8" s="174">
        <v>192</v>
      </c>
      <c r="F8" s="172"/>
      <c r="G8" s="172"/>
      <c r="H8" s="172"/>
      <c r="I8" s="172"/>
      <c r="J8" s="173" t="s">
        <v>270</v>
      </c>
      <c r="K8" s="174">
        <v>2000</v>
      </c>
      <c r="O8" s="172"/>
      <c r="P8" s="176" t="s">
        <v>293</v>
      </c>
      <c r="Q8" s="174"/>
      <c r="R8" s="172"/>
      <c r="S8" s="172"/>
      <c r="T8" s="172"/>
      <c r="U8" s="172"/>
      <c r="V8" s="176" t="s">
        <v>310</v>
      </c>
      <c r="W8" s="174"/>
      <c r="X8" s="172"/>
      <c r="Y8" s="172"/>
      <c r="Z8" s="172"/>
    </row>
    <row r="9" spans="2:29" x14ac:dyDescent="0.2">
      <c r="C9" s="172"/>
      <c r="D9" s="173" t="s">
        <v>258</v>
      </c>
      <c r="E9" s="174">
        <v>4650</v>
      </c>
      <c r="F9" s="172"/>
      <c r="G9" s="172"/>
      <c r="H9" s="172"/>
      <c r="I9" s="172"/>
      <c r="J9" s="173" t="s">
        <v>272</v>
      </c>
      <c r="K9" s="174">
        <v>1000</v>
      </c>
      <c r="O9" s="172"/>
      <c r="P9" s="173" t="s">
        <v>256</v>
      </c>
      <c r="Q9" s="174">
        <v>15000</v>
      </c>
      <c r="R9" s="172"/>
      <c r="S9" s="172"/>
      <c r="T9" s="172"/>
      <c r="U9" s="172"/>
      <c r="V9" s="173" t="s">
        <v>309</v>
      </c>
      <c r="W9" s="174">
        <v>20000</v>
      </c>
      <c r="X9" s="172"/>
      <c r="Y9" s="172"/>
      <c r="Z9" s="172"/>
    </row>
    <row r="10" spans="2:29" x14ac:dyDescent="0.2">
      <c r="C10" s="172"/>
      <c r="D10" s="173" t="s">
        <v>259</v>
      </c>
      <c r="E10" s="174">
        <v>237</v>
      </c>
      <c r="F10" s="172"/>
      <c r="G10" s="172"/>
      <c r="H10" s="172"/>
      <c r="I10" s="172"/>
      <c r="J10" s="173" t="s">
        <v>273</v>
      </c>
      <c r="K10" s="174">
        <v>126</v>
      </c>
      <c r="O10" s="172"/>
      <c r="P10" s="173" t="s">
        <v>294</v>
      </c>
      <c r="Q10" s="174">
        <v>10000</v>
      </c>
      <c r="R10" s="172"/>
      <c r="S10" s="172"/>
      <c r="T10" s="172"/>
      <c r="U10" s="172"/>
      <c r="V10" s="177" t="s">
        <v>176</v>
      </c>
      <c r="W10" s="178">
        <f>SUM(W6:W9)</f>
        <v>60000</v>
      </c>
      <c r="X10" s="172"/>
      <c r="Y10" s="172"/>
      <c r="Z10" s="172"/>
    </row>
    <row r="11" spans="2:29" ht="13.5" thickBot="1" x14ac:dyDescent="0.25">
      <c r="C11" s="172"/>
      <c r="D11" s="173" t="s">
        <v>260</v>
      </c>
      <c r="E11" s="174">
        <v>1800</v>
      </c>
      <c r="F11" s="172"/>
      <c r="G11" s="172"/>
      <c r="H11" s="172"/>
      <c r="I11" s="172"/>
      <c r="J11" s="173" t="s">
        <v>274</v>
      </c>
      <c r="K11" s="174">
        <v>2000</v>
      </c>
      <c r="O11" s="172"/>
      <c r="P11" s="173" t="s">
        <v>295</v>
      </c>
      <c r="Q11" s="174">
        <v>5000</v>
      </c>
      <c r="R11" s="172"/>
      <c r="S11" s="172"/>
      <c r="T11" s="172"/>
      <c r="U11" s="172"/>
      <c r="V11" s="180"/>
      <c r="W11" s="187"/>
      <c r="X11" s="172"/>
      <c r="Y11" s="172"/>
      <c r="Z11" s="172"/>
    </row>
    <row r="12" spans="2:29" ht="15.75" thickTop="1" x14ac:dyDescent="0.25">
      <c r="D12" s="176" t="s">
        <v>261</v>
      </c>
      <c r="E12" s="174"/>
      <c r="F12" s="172"/>
      <c r="G12" s="172"/>
      <c r="H12" s="172"/>
      <c r="I12" s="172"/>
      <c r="J12" s="176" t="s">
        <v>74</v>
      </c>
      <c r="K12" s="174"/>
      <c r="O12" s="172"/>
      <c r="P12" s="177" t="s">
        <v>176</v>
      </c>
      <c r="Q12" s="178">
        <f>SUM(Q6:Q11)</f>
        <v>33450</v>
      </c>
      <c r="R12" s="172"/>
      <c r="S12" s="172"/>
      <c r="T12" s="172"/>
      <c r="U12" s="172"/>
      <c r="V12" s="179" t="s">
        <v>311</v>
      </c>
      <c r="W12" s="188">
        <f>W10</f>
        <v>60000</v>
      </c>
      <c r="X12" s="172"/>
      <c r="Y12" s="172"/>
      <c r="Z12" s="172"/>
    </row>
    <row r="13" spans="2:29" x14ac:dyDescent="0.2">
      <c r="D13" s="173" t="s">
        <v>262</v>
      </c>
      <c r="E13" s="174">
        <v>1500</v>
      </c>
      <c r="F13" s="172"/>
      <c r="G13" s="172"/>
      <c r="H13" s="172"/>
      <c r="I13" s="172"/>
      <c r="J13" s="173" t="s">
        <v>275</v>
      </c>
      <c r="K13" s="174">
        <v>450</v>
      </c>
      <c r="O13" s="172"/>
      <c r="P13" s="173"/>
      <c r="Q13" s="174"/>
      <c r="R13" s="172"/>
      <c r="S13" s="172"/>
      <c r="T13" s="172"/>
      <c r="X13" s="172"/>
      <c r="Y13" s="172"/>
      <c r="Z13" s="172"/>
    </row>
    <row r="14" spans="2:29" ht="15" x14ac:dyDescent="0.25">
      <c r="C14" s="172"/>
      <c r="D14" s="173" t="s">
        <v>263</v>
      </c>
      <c r="E14" s="172">
        <v>50000</v>
      </c>
      <c r="F14" s="172"/>
      <c r="G14" s="172"/>
      <c r="H14" s="172"/>
      <c r="I14" s="172"/>
      <c r="J14" s="173" t="s">
        <v>276</v>
      </c>
      <c r="K14" s="174">
        <v>1000</v>
      </c>
      <c r="O14" s="264" t="s">
        <v>298</v>
      </c>
      <c r="P14" s="264"/>
      <c r="Q14" s="264"/>
      <c r="R14" s="172"/>
      <c r="S14" s="172"/>
      <c r="T14" s="172"/>
      <c r="X14" s="172"/>
      <c r="Y14" s="172"/>
      <c r="Z14" s="172"/>
    </row>
    <row r="15" spans="2:29" x14ac:dyDescent="0.2">
      <c r="C15" s="172"/>
      <c r="D15" s="173" t="s">
        <v>258</v>
      </c>
      <c r="E15" s="172">
        <v>100000</v>
      </c>
      <c r="F15" s="172"/>
      <c r="G15" s="172"/>
      <c r="H15" s="172"/>
      <c r="I15" s="172"/>
      <c r="J15" s="173" t="s">
        <v>277</v>
      </c>
      <c r="K15" s="191">
        <v>6000</v>
      </c>
      <c r="O15" s="172"/>
      <c r="P15" s="176" t="s">
        <v>299</v>
      </c>
      <c r="Q15" s="174"/>
      <c r="R15" s="172"/>
      <c r="S15" s="172"/>
      <c r="T15" s="172"/>
      <c r="X15" s="172"/>
      <c r="Y15" s="172"/>
      <c r="Z15" s="172"/>
      <c r="AA15" s="172"/>
      <c r="AB15" s="173"/>
      <c r="AC15" s="174"/>
    </row>
    <row r="16" spans="2:29" x14ac:dyDescent="0.2">
      <c r="C16" s="172"/>
      <c r="D16" s="173" t="s">
        <v>264</v>
      </c>
      <c r="E16" s="174">
        <v>750000</v>
      </c>
      <c r="F16" s="172"/>
      <c r="G16" s="172"/>
      <c r="H16" s="172"/>
      <c r="I16" s="172"/>
      <c r="J16" s="173" t="s">
        <v>278</v>
      </c>
      <c r="K16" s="174">
        <v>2000</v>
      </c>
      <c r="O16" s="172"/>
      <c r="P16" s="173" t="s">
        <v>256</v>
      </c>
      <c r="Q16" s="174">
        <v>24000</v>
      </c>
      <c r="R16" s="172"/>
      <c r="S16" s="172"/>
      <c r="T16" s="172"/>
      <c r="X16" s="172"/>
      <c r="Y16" s="172"/>
      <c r="Z16" s="172"/>
    </row>
    <row r="17" spans="3:29" x14ac:dyDescent="0.2">
      <c r="C17" s="172"/>
      <c r="D17" s="173" t="s">
        <v>265</v>
      </c>
      <c r="E17" s="174">
        <v>2500</v>
      </c>
      <c r="F17" s="172"/>
      <c r="G17" s="172"/>
      <c r="H17" s="172"/>
      <c r="I17" s="172"/>
      <c r="J17" s="173" t="s">
        <v>279</v>
      </c>
      <c r="K17" s="191">
        <v>20000</v>
      </c>
      <c r="O17" s="172"/>
      <c r="P17" s="173" t="s">
        <v>300</v>
      </c>
      <c r="Q17" s="174">
        <v>60000</v>
      </c>
      <c r="R17" s="172"/>
      <c r="S17" s="172"/>
      <c r="T17" s="172"/>
      <c r="X17" s="172"/>
      <c r="Y17" s="172"/>
      <c r="Z17" s="172"/>
    </row>
    <row r="18" spans="3:29" x14ac:dyDescent="0.2">
      <c r="C18" s="172"/>
      <c r="D18" s="176" t="s">
        <v>266</v>
      </c>
      <c r="E18" s="174"/>
      <c r="F18" s="172"/>
      <c r="G18" s="172"/>
      <c r="H18" s="172"/>
      <c r="I18" s="172"/>
      <c r="J18" s="173" t="s">
        <v>280</v>
      </c>
      <c r="K18" s="174">
        <v>3000</v>
      </c>
      <c r="O18" s="172"/>
      <c r="P18" s="176" t="s">
        <v>301</v>
      </c>
      <c r="Q18" s="174"/>
      <c r="R18" s="172"/>
      <c r="S18" s="172"/>
      <c r="T18" s="172"/>
      <c r="U18" s="172"/>
      <c r="V18" s="173"/>
      <c r="W18" s="174"/>
      <c r="X18" s="172"/>
      <c r="Y18" s="172"/>
      <c r="Z18" s="172"/>
    </row>
    <row r="19" spans="3:29" x14ac:dyDescent="0.2">
      <c r="C19" s="172"/>
      <c r="D19" s="173" t="s">
        <v>267</v>
      </c>
      <c r="E19" s="174">
        <v>3000</v>
      </c>
      <c r="F19" s="172"/>
      <c r="G19" s="172"/>
      <c r="H19" s="172"/>
      <c r="I19" s="172"/>
      <c r="J19" s="177" t="s">
        <v>176</v>
      </c>
      <c r="K19" s="178">
        <f>SUM(K6:K18)</f>
        <v>57576</v>
      </c>
      <c r="O19" s="172"/>
      <c r="P19" s="173" t="s">
        <v>302</v>
      </c>
      <c r="Q19" s="174">
        <v>5000</v>
      </c>
      <c r="R19" s="172"/>
      <c r="S19" s="172"/>
      <c r="T19" s="172"/>
      <c r="X19" s="172"/>
      <c r="Y19" s="172"/>
      <c r="Z19" s="172"/>
    </row>
    <row r="20" spans="3:29" x14ac:dyDescent="0.2">
      <c r="C20" s="172"/>
      <c r="D20" s="177" t="s">
        <v>176</v>
      </c>
      <c r="E20" s="189">
        <f>SUM(E6:E19)</f>
        <v>914005</v>
      </c>
      <c r="F20" s="172"/>
      <c r="G20" s="172"/>
      <c r="H20" s="172"/>
      <c r="O20" s="172"/>
      <c r="P20" s="173" t="s">
        <v>303</v>
      </c>
      <c r="Q20" s="174">
        <v>15000</v>
      </c>
      <c r="R20" s="172"/>
      <c r="S20" s="172"/>
      <c r="T20" s="172"/>
      <c r="X20" s="172"/>
      <c r="Y20" s="172"/>
      <c r="Z20" s="172"/>
    </row>
    <row r="21" spans="3:29" ht="15" x14ac:dyDescent="0.25">
      <c r="C21" s="172"/>
      <c r="D21" s="173"/>
      <c r="E21" s="174"/>
      <c r="F21" s="172"/>
      <c r="G21" s="172"/>
      <c r="H21" s="172"/>
      <c r="I21" s="264" t="s">
        <v>282</v>
      </c>
      <c r="J21" s="264"/>
      <c r="K21" s="264"/>
      <c r="O21" s="172"/>
      <c r="P21" s="173" t="s">
        <v>304</v>
      </c>
      <c r="Q21" s="174">
        <v>41.66</v>
      </c>
      <c r="R21" s="172"/>
      <c r="S21" s="172"/>
      <c r="T21" s="172"/>
      <c r="X21" s="172"/>
      <c r="Y21" s="172"/>
      <c r="Z21" s="172"/>
    </row>
    <row r="22" spans="3:29" ht="15" x14ac:dyDescent="0.25">
      <c r="C22" s="172"/>
      <c r="D22" s="179" t="s">
        <v>334</v>
      </c>
      <c r="E22" s="188">
        <f>E20</f>
        <v>914005</v>
      </c>
      <c r="F22" s="172"/>
      <c r="G22" s="172"/>
      <c r="H22" s="172"/>
      <c r="I22" s="172"/>
      <c r="J22" s="176" t="s">
        <v>284</v>
      </c>
      <c r="O22" s="172"/>
      <c r="P22" s="173" t="s">
        <v>305</v>
      </c>
      <c r="Q22" s="174">
        <v>5000</v>
      </c>
      <c r="R22" s="172"/>
      <c r="S22" s="172"/>
      <c r="T22" s="172"/>
      <c r="X22" s="172"/>
      <c r="Y22" s="172"/>
      <c r="Z22" s="172"/>
    </row>
    <row r="23" spans="3:29" x14ac:dyDescent="0.2">
      <c r="C23" s="172"/>
      <c r="F23" s="172"/>
      <c r="G23" s="172"/>
      <c r="H23" s="172"/>
      <c r="I23" s="172"/>
      <c r="J23" s="173" t="s">
        <v>283</v>
      </c>
      <c r="K23" s="174">
        <v>10000</v>
      </c>
      <c r="O23" s="172"/>
      <c r="P23" s="177" t="s">
        <v>176</v>
      </c>
      <c r="Q23" s="178">
        <f>SUM(Q15:Q22)</f>
        <v>109041.66</v>
      </c>
      <c r="R23" s="172"/>
      <c r="S23" s="172"/>
      <c r="T23" s="172"/>
      <c r="X23" s="172"/>
      <c r="Y23" s="172"/>
      <c r="Z23" s="172"/>
    </row>
    <row r="24" spans="3:29" ht="13.5" thickBot="1" x14ac:dyDescent="0.25">
      <c r="F24" s="172"/>
      <c r="G24" s="172"/>
      <c r="H24" s="172"/>
      <c r="I24" s="172"/>
      <c r="J24" s="173" t="s">
        <v>256</v>
      </c>
      <c r="K24" s="174">
        <v>126</v>
      </c>
      <c r="P24" s="186"/>
      <c r="Q24" s="186"/>
      <c r="R24" s="172"/>
      <c r="S24" s="172"/>
      <c r="T24" s="172"/>
      <c r="X24" s="172"/>
      <c r="Y24" s="172"/>
      <c r="Z24" s="172"/>
      <c r="AA24" s="172"/>
      <c r="AB24" s="172"/>
      <c r="AC24" s="172"/>
    </row>
    <row r="25" spans="3:29" ht="15.75" thickTop="1" x14ac:dyDescent="0.25">
      <c r="F25" s="172"/>
      <c r="G25" s="172"/>
      <c r="H25" s="172"/>
      <c r="I25" s="172"/>
      <c r="J25" s="173" t="s">
        <v>285</v>
      </c>
      <c r="K25" s="174">
        <v>1500</v>
      </c>
      <c r="P25" s="179" t="s">
        <v>297</v>
      </c>
      <c r="Q25" s="188">
        <f>Q12+Q23</f>
        <v>142491.66</v>
      </c>
      <c r="R25" s="172"/>
      <c r="S25" s="172"/>
      <c r="T25" s="172"/>
      <c r="X25" s="172"/>
      <c r="Y25" s="172"/>
      <c r="Z25" s="172"/>
      <c r="AA25" s="172"/>
      <c r="AB25" s="172"/>
      <c r="AC25" s="172"/>
    </row>
    <row r="26" spans="3:29" x14ac:dyDescent="0.2">
      <c r="F26" s="172"/>
      <c r="G26" s="172"/>
      <c r="H26" s="172"/>
      <c r="I26" s="172"/>
      <c r="J26" s="173" t="s">
        <v>286</v>
      </c>
      <c r="K26" s="174">
        <v>3000</v>
      </c>
      <c r="R26" s="172"/>
      <c r="S26" s="172"/>
      <c r="T26" s="172"/>
      <c r="X26" s="172"/>
      <c r="Y26" s="172"/>
      <c r="Z26" s="172"/>
      <c r="AA26" s="172"/>
      <c r="AB26" s="172"/>
      <c r="AC26" s="172"/>
    </row>
    <row r="27" spans="3:29" x14ac:dyDescent="0.2">
      <c r="F27" s="172"/>
      <c r="G27" s="172"/>
      <c r="H27" s="172"/>
      <c r="I27" s="172"/>
      <c r="J27" s="177" t="s">
        <v>176</v>
      </c>
      <c r="K27" s="178">
        <f>SUM(K22:K26)</f>
        <v>14626</v>
      </c>
      <c r="R27" s="172"/>
      <c r="S27" s="172"/>
      <c r="T27" s="172"/>
      <c r="X27" s="172"/>
      <c r="Y27" s="172"/>
      <c r="Z27" s="172"/>
      <c r="AA27" s="172"/>
      <c r="AB27" s="172"/>
      <c r="AC27" s="172"/>
    </row>
    <row r="28" spans="3:29" x14ac:dyDescent="0.2">
      <c r="F28" s="172"/>
      <c r="G28" s="172"/>
      <c r="H28" s="172"/>
      <c r="I28" s="172"/>
      <c r="J28" s="173"/>
      <c r="K28" s="174"/>
      <c r="R28" s="172"/>
      <c r="S28" s="172"/>
      <c r="T28" s="172"/>
      <c r="X28" s="172"/>
      <c r="Y28" s="172"/>
      <c r="Z28" s="172"/>
      <c r="AA28" s="172"/>
      <c r="AB28" s="172"/>
      <c r="AC28" s="172"/>
    </row>
    <row r="29" spans="3:29" ht="15" x14ac:dyDescent="0.25">
      <c r="F29" s="172"/>
      <c r="G29" s="172"/>
      <c r="H29" s="172"/>
      <c r="I29" s="264" t="s">
        <v>287</v>
      </c>
      <c r="J29" s="264"/>
      <c r="K29" s="264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</row>
    <row r="30" spans="3:29" x14ac:dyDescent="0.2">
      <c r="F30" s="172"/>
      <c r="G30" s="172"/>
      <c r="H30" s="172"/>
      <c r="I30" s="172"/>
      <c r="J30" s="173" t="s">
        <v>288</v>
      </c>
      <c r="K30" s="174">
        <v>25000</v>
      </c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</row>
    <row r="31" spans="3:29" x14ac:dyDescent="0.2">
      <c r="F31" s="172"/>
      <c r="G31" s="172"/>
      <c r="H31" s="172"/>
      <c r="I31" s="172"/>
      <c r="J31" s="173" t="s">
        <v>289</v>
      </c>
      <c r="K31" s="174">
        <v>8000</v>
      </c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</row>
    <row r="32" spans="3:29" x14ac:dyDescent="0.2">
      <c r="F32" s="172"/>
      <c r="G32" s="172"/>
      <c r="H32" s="172"/>
      <c r="I32" s="172"/>
      <c r="J32" s="173" t="s">
        <v>290</v>
      </c>
      <c r="K32" s="174">
        <v>33000</v>
      </c>
      <c r="L32" s="172"/>
      <c r="M32" s="172"/>
      <c r="N32" s="172"/>
      <c r="O32" s="172"/>
      <c r="P32" s="172"/>
      <c r="Q32" s="172"/>
      <c r="R32" s="172"/>
      <c r="S32" s="172"/>
      <c r="T32" s="172"/>
      <c r="U32" s="172"/>
      <c r="V32" s="172"/>
      <c r="W32" s="172"/>
      <c r="X32" s="172"/>
      <c r="Y32" s="172"/>
    </row>
    <row r="33" spans="3:25" x14ac:dyDescent="0.2">
      <c r="F33" s="172"/>
      <c r="G33" s="172"/>
      <c r="H33" s="172"/>
      <c r="I33" s="172"/>
      <c r="J33" s="177" t="s">
        <v>176</v>
      </c>
      <c r="K33" s="178">
        <f>SUM(K30:K32)</f>
        <v>66000</v>
      </c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</row>
    <row r="34" spans="3:25" ht="13.5" thickBot="1" x14ac:dyDescent="0.25">
      <c r="F34" s="172"/>
      <c r="G34" s="172"/>
      <c r="H34" s="172"/>
      <c r="I34" s="172"/>
      <c r="J34" s="180"/>
      <c r="K34" s="187"/>
      <c r="L34" s="172"/>
      <c r="M34" s="172"/>
      <c r="N34" s="172"/>
      <c r="O34" s="172"/>
      <c r="P34" s="172"/>
      <c r="Q34" s="172"/>
      <c r="R34" s="172"/>
      <c r="S34" s="172"/>
      <c r="T34" s="172"/>
      <c r="U34" s="172"/>
      <c r="V34" s="172"/>
      <c r="W34" s="172"/>
      <c r="X34" s="172"/>
      <c r="Y34" s="172"/>
    </row>
    <row r="35" spans="3:25" ht="15.75" thickTop="1" x14ac:dyDescent="0.25">
      <c r="F35" s="172"/>
      <c r="G35" s="172"/>
      <c r="H35" s="172"/>
      <c r="I35" s="172"/>
      <c r="J35" s="179" t="s">
        <v>281</v>
      </c>
      <c r="K35" s="188">
        <f>K19+K27+K33</f>
        <v>138202</v>
      </c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</row>
    <row r="36" spans="3:25" x14ac:dyDescent="0.2">
      <c r="F36" s="172"/>
      <c r="G36" s="172"/>
      <c r="H36" s="172"/>
      <c r="I36" s="172"/>
      <c r="J36" s="172"/>
      <c r="K36" s="174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2"/>
      <c r="W36" s="172"/>
      <c r="X36" s="172"/>
      <c r="Y36" s="172"/>
    </row>
    <row r="37" spans="3:25" x14ac:dyDescent="0.2">
      <c r="F37" s="172"/>
      <c r="G37" s="172"/>
      <c r="H37" s="172"/>
      <c r="I37" s="172"/>
      <c r="J37" s="172"/>
      <c r="K37" s="174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</row>
    <row r="38" spans="3:25" x14ac:dyDescent="0.2"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</row>
    <row r="39" spans="3:25" x14ac:dyDescent="0.2"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</row>
    <row r="40" spans="3:25" x14ac:dyDescent="0.2"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</row>
    <row r="41" spans="3:25" x14ac:dyDescent="0.2"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</row>
    <row r="42" spans="3:25" x14ac:dyDescent="0.2"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</row>
    <row r="43" spans="3:25" x14ac:dyDescent="0.2">
      <c r="C43" s="172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</row>
  </sheetData>
  <mergeCells count="12">
    <mergeCell ref="B2:W2"/>
    <mergeCell ref="U4:W4"/>
    <mergeCell ref="O14:Q14"/>
    <mergeCell ref="U5:W5"/>
    <mergeCell ref="C4:E4"/>
    <mergeCell ref="C5:E5"/>
    <mergeCell ref="I5:K5"/>
    <mergeCell ref="I21:K21"/>
    <mergeCell ref="O4:Q4"/>
    <mergeCell ref="I29:K29"/>
    <mergeCell ref="O5:Q5"/>
    <mergeCell ref="I4:K4"/>
  </mergeCells>
  <pageMargins left="0.7" right="0.7" top="0.75" bottom="0.75" header="0.3" footer="0.3"/>
  <pageSetup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21D-3CAE-47E3-B037-2B71549D0288}">
  <sheetPr codeName="Sheet14"/>
  <dimension ref="A1:G69"/>
  <sheetViews>
    <sheetView workbookViewId="0">
      <selection activeCell="L12" sqref="L12:M12"/>
    </sheetView>
  </sheetViews>
  <sheetFormatPr defaultColWidth="8.7109375" defaultRowHeight="12.75" x14ac:dyDescent="0.2"/>
  <cols>
    <col min="1" max="1" width="36.28515625" style="1" bestFit="1" customWidth="1"/>
    <col min="2" max="2" width="19.85546875" style="1" bestFit="1" customWidth="1"/>
    <col min="3" max="3" width="10.28515625" style="1" bestFit="1" customWidth="1"/>
    <col min="4" max="4" width="13.85546875" style="1" bestFit="1" customWidth="1"/>
    <col min="5" max="16384" width="8.7109375" style="1"/>
  </cols>
  <sheetData>
    <row r="1" spans="1:7" ht="15" x14ac:dyDescent="0.25">
      <c r="A1" s="66"/>
      <c r="B1" s="66"/>
      <c r="C1" s="66"/>
      <c r="D1" s="66" t="s">
        <v>45</v>
      </c>
      <c r="E1" s="66"/>
    </row>
    <row r="2" spans="1:7" ht="15" x14ac:dyDescent="0.25">
      <c r="A2" s="70" t="s">
        <v>46</v>
      </c>
      <c r="B2" s="71"/>
      <c r="C2" s="71"/>
      <c r="D2" s="72">
        <f>SUM(D3:D5)</f>
        <v>11280</v>
      </c>
      <c r="E2" s="66"/>
    </row>
    <row r="3" spans="1:7" ht="15" x14ac:dyDescent="0.25">
      <c r="A3" s="73" t="s">
        <v>47</v>
      </c>
      <c r="B3" s="71">
        <v>7500</v>
      </c>
      <c r="C3" s="71"/>
      <c r="D3" s="58">
        <f>B3+(C3*12)</f>
        <v>7500</v>
      </c>
      <c r="E3" s="66"/>
      <c r="G3" s="1" t="s">
        <v>361</v>
      </c>
    </row>
    <row r="4" spans="1:7" ht="15" x14ac:dyDescent="0.25">
      <c r="A4" s="73" t="s">
        <v>48</v>
      </c>
      <c r="B4" s="71"/>
      <c r="C4" s="71">
        <v>150</v>
      </c>
      <c r="D4" s="58">
        <f>B4+(C4*12)</f>
        <v>1800</v>
      </c>
      <c r="E4" s="66"/>
    </row>
    <row r="5" spans="1:7" ht="15" x14ac:dyDescent="0.25">
      <c r="A5" s="73" t="s">
        <v>49</v>
      </c>
      <c r="B5" s="71"/>
      <c r="C5" s="71">
        <v>165</v>
      </c>
      <c r="D5" s="58">
        <f>B5+(C5*12)</f>
        <v>1980</v>
      </c>
      <c r="E5" s="66"/>
    </row>
    <row r="6" spans="1:7" ht="15" x14ac:dyDescent="0.25">
      <c r="A6" s="70" t="s">
        <v>50</v>
      </c>
      <c r="B6" s="71"/>
      <c r="C6" s="71"/>
      <c r="D6" s="72">
        <f>SUM(D7:D10)</f>
        <v>155500</v>
      </c>
      <c r="E6" s="66"/>
    </row>
    <row r="7" spans="1:7" ht="15" x14ac:dyDescent="0.25">
      <c r="A7" s="73" t="s">
        <v>47</v>
      </c>
      <c r="B7" s="71">
        <v>7500</v>
      </c>
      <c r="C7" s="71"/>
      <c r="D7" s="58">
        <f>B7+(C7*12)</f>
        <v>7500</v>
      </c>
      <c r="E7" s="66"/>
    </row>
    <row r="8" spans="1:7" ht="15" x14ac:dyDescent="0.25">
      <c r="A8" s="73" t="s">
        <v>51</v>
      </c>
      <c r="B8" s="71"/>
      <c r="C8" s="71">
        <v>3000</v>
      </c>
      <c r="D8" s="58">
        <f>B8+(C8*12)</f>
        <v>36000</v>
      </c>
      <c r="E8" s="66"/>
    </row>
    <row r="9" spans="1:7" ht="15" x14ac:dyDescent="0.25">
      <c r="A9" s="73" t="s">
        <v>52</v>
      </c>
      <c r="B9" s="71"/>
      <c r="C9" s="71">
        <v>1000</v>
      </c>
      <c r="D9" s="58">
        <f>B9+(C9*12)</f>
        <v>12000</v>
      </c>
      <c r="E9" s="66"/>
    </row>
    <row r="10" spans="1:7" ht="15" x14ac:dyDescent="0.25">
      <c r="A10" s="70" t="s">
        <v>53</v>
      </c>
      <c r="B10" s="71">
        <v>100000</v>
      </c>
      <c r="C10" s="71"/>
      <c r="D10" s="58">
        <f>B10+(C10*12)</f>
        <v>100000</v>
      </c>
      <c r="E10" s="66"/>
    </row>
    <row r="11" spans="1:7" ht="15" x14ac:dyDescent="0.25">
      <c r="A11" s="70" t="s">
        <v>54</v>
      </c>
      <c r="B11" s="71"/>
      <c r="C11" s="71"/>
      <c r="D11" s="72">
        <f>SUM(D12:D15)</f>
        <v>1600000</v>
      </c>
      <c r="E11" s="66"/>
    </row>
    <row r="12" spans="1:7" ht="15" x14ac:dyDescent="0.25">
      <c r="A12" s="73" t="s">
        <v>55</v>
      </c>
      <c r="B12" s="71">
        <v>100000</v>
      </c>
      <c r="C12" s="71"/>
      <c r="D12" s="58">
        <f>B12+(C12*12)</f>
        <v>100000</v>
      </c>
      <c r="E12" s="66"/>
    </row>
    <row r="13" spans="1:7" ht="15" x14ac:dyDescent="0.25">
      <c r="A13" s="73" t="s">
        <v>56</v>
      </c>
      <c r="B13" s="71">
        <v>300000</v>
      </c>
      <c r="C13" s="71"/>
      <c r="D13" s="58">
        <f>B13+(C13*12)</f>
        <v>300000</v>
      </c>
      <c r="E13" s="66"/>
    </row>
    <row r="14" spans="1:7" ht="15" x14ac:dyDescent="0.25">
      <c r="A14" s="73" t="s">
        <v>57</v>
      </c>
      <c r="B14" s="71">
        <v>400000</v>
      </c>
      <c r="C14" s="71"/>
      <c r="D14" s="58">
        <f>B14+(C14*12)</f>
        <v>400000</v>
      </c>
      <c r="E14" s="66"/>
    </row>
    <row r="15" spans="1:7" ht="15" x14ac:dyDescent="0.25">
      <c r="A15" s="73" t="s">
        <v>58</v>
      </c>
      <c r="B15" s="71">
        <v>800000</v>
      </c>
      <c r="C15" s="71"/>
      <c r="D15" s="58">
        <f>B15+(C15*12)</f>
        <v>800000</v>
      </c>
      <c r="E15" s="66"/>
    </row>
    <row r="16" spans="1:7" ht="15" x14ac:dyDescent="0.25">
      <c r="A16" s="70" t="s">
        <v>59</v>
      </c>
      <c r="B16" s="71"/>
      <c r="C16" s="71"/>
      <c r="D16" s="58">
        <f>SUM(D17)</f>
        <v>300000</v>
      </c>
      <c r="E16" s="66"/>
    </row>
    <row r="17" spans="1:5" ht="15" x14ac:dyDescent="0.25">
      <c r="A17" s="73" t="s">
        <v>60</v>
      </c>
      <c r="B17" s="71">
        <v>300000</v>
      </c>
      <c r="C17" s="71"/>
      <c r="D17" s="58">
        <f>B17+(C17*12)</f>
        <v>300000</v>
      </c>
      <c r="E17" s="66"/>
    </row>
    <row r="18" spans="1:5" ht="15" x14ac:dyDescent="0.25">
      <c r="A18" s="70" t="s">
        <v>61</v>
      </c>
      <c r="B18" s="71">
        <v>100000</v>
      </c>
      <c r="C18" s="71"/>
      <c r="D18" s="72">
        <f>B18+(C18*12)</f>
        <v>100000</v>
      </c>
      <c r="E18" s="66"/>
    </row>
    <row r="19" spans="1:5" ht="15" x14ac:dyDescent="0.25">
      <c r="A19" s="70" t="s">
        <v>62</v>
      </c>
      <c r="B19" s="71"/>
      <c r="C19" s="71"/>
      <c r="D19" s="72">
        <f>SUM(D20:D21)</f>
        <v>25500</v>
      </c>
      <c r="E19" s="66"/>
    </row>
    <row r="20" spans="1:5" ht="15" x14ac:dyDescent="0.25">
      <c r="A20" s="73" t="s">
        <v>47</v>
      </c>
      <c r="B20" s="71">
        <v>7500</v>
      </c>
      <c r="C20" s="71"/>
      <c r="D20" s="58">
        <f>B20+(C20*12)</f>
        <v>7500</v>
      </c>
      <c r="E20" s="66"/>
    </row>
    <row r="21" spans="1:5" ht="15" x14ac:dyDescent="0.25">
      <c r="A21" s="74" t="s">
        <v>63</v>
      </c>
      <c r="B21" s="75">
        <v>18000</v>
      </c>
      <c r="C21" s="75"/>
      <c r="D21" s="58">
        <f>B21+(C21*12)</f>
        <v>18000</v>
      </c>
      <c r="E21" s="66"/>
    </row>
    <row r="22" spans="1:5" ht="15" x14ac:dyDescent="0.25">
      <c r="A22" s="65" t="s">
        <v>64</v>
      </c>
      <c r="B22" s="64"/>
      <c r="C22" s="64"/>
      <c r="D22" s="72">
        <f>C23</f>
        <v>90</v>
      </c>
      <c r="E22" s="66"/>
    </row>
    <row r="23" spans="1:5" ht="15" x14ac:dyDescent="0.25">
      <c r="A23" s="64" t="s">
        <v>65</v>
      </c>
      <c r="B23" s="64"/>
      <c r="C23" s="62">
        <v>90</v>
      </c>
      <c r="D23" s="58"/>
      <c r="E23" s="66"/>
    </row>
    <row r="24" spans="1:5" ht="15" x14ac:dyDescent="0.25">
      <c r="A24" s="65" t="s">
        <v>66</v>
      </c>
      <c r="B24" s="64" t="s">
        <v>67</v>
      </c>
      <c r="C24" s="64"/>
      <c r="E24" s="66"/>
    </row>
    <row r="25" spans="1:5" ht="15" x14ac:dyDescent="0.25">
      <c r="A25" s="64"/>
      <c r="B25" s="64"/>
      <c r="C25" s="64"/>
      <c r="E25" s="66"/>
    </row>
    <row r="26" spans="1:5" ht="15" x14ac:dyDescent="0.25">
      <c r="A26" s="76" t="s">
        <v>68</v>
      </c>
      <c r="B26" s="62">
        <v>45000</v>
      </c>
      <c r="C26" s="64"/>
      <c r="E26" s="66"/>
    </row>
    <row r="27" spans="1:5" ht="15" x14ac:dyDescent="0.25">
      <c r="A27" s="64"/>
      <c r="B27" s="64"/>
      <c r="C27" s="64"/>
      <c r="E27" s="66"/>
    </row>
    <row r="28" spans="1:5" ht="15" x14ac:dyDescent="0.25">
      <c r="A28" s="64"/>
      <c r="B28" s="64"/>
      <c r="C28" s="64"/>
      <c r="E28" s="66"/>
    </row>
    <row r="29" spans="1:5" ht="15" x14ac:dyDescent="0.25">
      <c r="A29" s="64"/>
      <c r="B29" s="64"/>
      <c r="C29" s="64"/>
      <c r="E29" s="66"/>
    </row>
    <row r="30" spans="1:5" ht="15" x14ac:dyDescent="0.25">
      <c r="A30" s="64"/>
      <c r="B30" s="64"/>
      <c r="C30" s="64"/>
      <c r="E30" s="66"/>
    </row>
    <row r="31" spans="1:5" ht="15" x14ac:dyDescent="0.25">
      <c r="A31" s="64"/>
      <c r="B31" s="64"/>
      <c r="C31" s="64"/>
      <c r="E31" s="66"/>
    </row>
    <row r="32" spans="1:5" ht="15" x14ac:dyDescent="0.25">
      <c r="A32" s="64"/>
      <c r="B32" s="64"/>
      <c r="C32" s="64"/>
      <c r="E32" s="66"/>
    </row>
    <row r="33" spans="1:5" ht="15" x14ac:dyDescent="0.25">
      <c r="A33" s="65" t="s">
        <v>66</v>
      </c>
      <c r="B33" s="77" t="s">
        <v>67</v>
      </c>
      <c r="C33" s="77"/>
      <c r="D33" s="66"/>
      <c r="E33" s="66"/>
    </row>
    <row r="34" spans="1:5" ht="15" x14ac:dyDescent="0.25">
      <c r="A34" s="77"/>
      <c r="B34" s="77"/>
      <c r="C34" s="77"/>
      <c r="D34" s="66"/>
      <c r="E34" s="66"/>
    </row>
    <row r="35" spans="1:5" ht="15" x14ac:dyDescent="0.25">
      <c r="A35" s="77"/>
      <c r="B35" s="77"/>
      <c r="C35" s="77"/>
      <c r="D35" s="66"/>
      <c r="E35" s="66"/>
    </row>
    <row r="36" spans="1:5" ht="15" x14ac:dyDescent="0.25">
      <c r="A36" s="77"/>
      <c r="B36" s="77"/>
      <c r="C36" s="77"/>
      <c r="D36" s="66"/>
      <c r="E36" s="66"/>
    </row>
    <row r="37" spans="1:5" ht="15" x14ac:dyDescent="0.25">
      <c r="A37" s="77"/>
      <c r="B37" s="77"/>
      <c r="C37" s="77"/>
      <c r="D37" s="66"/>
      <c r="E37" s="66"/>
    </row>
    <row r="38" spans="1:5" ht="15" x14ac:dyDescent="0.25">
      <c r="A38" s="77"/>
      <c r="B38" s="77"/>
      <c r="C38" s="77"/>
      <c r="D38" s="66"/>
      <c r="E38" s="66"/>
    </row>
    <row r="39" spans="1:5" ht="15" x14ac:dyDescent="0.25">
      <c r="A39" s="77"/>
      <c r="B39" s="77"/>
      <c r="C39" s="77"/>
      <c r="D39" s="66"/>
      <c r="E39" s="66"/>
    </row>
    <row r="40" spans="1:5" ht="15" x14ac:dyDescent="0.25">
      <c r="A40" s="77"/>
      <c r="B40" s="77"/>
      <c r="C40" s="77"/>
      <c r="D40" s="66"/>
      <c r="E40" s="66"/>
    </row>
    <row r="41" spans="1:5" ht="15" x14ac:dyDescent="0.25">
      <c r="A41" s="77"/>
      <c r="B41" s="77"/>
      <c r="C41" s="77"/>
      <c r="D41" s="66"/>
      <c r="E41" s="66"/>
    </row>
    <row r="42" spans="1:5" ht="15" x14ac:dyDescent="0.25">
      <c r="A42" s="66"/>
      <c r="B42" s="66"/>
      <c r="C42" s="66"/>
      <c r="D42" s="66"/>
      <c r="E42" s="66"/>
    </row>
    <row r="43" spans="1:5" ht="15" x14ac:dyDescent="0.25">
      <c r="A43" s="66"/>
      <c r="B43" s="66"/>
      <c r="C43" s="66"/>
      <c r="D43" s="66"/>
      <c r="E43" s="66"/>
    </row>
    <row r="44" spans="1:5" ht="15" x14ac:dyDescent="0.25">
      <c r="A44" s="66"/>
      <c r="B44" s="66"/>
      <c r="C44" s="66"/>
      <c r="D44" s="66"/>
      <c r="E44" s="66"/>
    </row>
    <row r="45" spans="1:5" ht="15" x14ac:dyDescent="0.25">
      <c r="A45" s="66"/>
      <c r="B45" s="66"/>
      <c r="C45" s="66"/>
      <c r="D45" s="66"/>
      <c r="E45" s="66"/>
    </row>
    <row r="46" spans="1:5" ht="15" x14ac:dyDescent="0.25">
      <c r="A46" s="66"/>
      <c r="B46" s="66"/>
      <c r="C46" s="66"/>
      <c r="D46" s="66"/>
      <c r="E46" s="66"/>
    </row>
    <row r="47" spans="1:5" ht="15" x14ac:dyDescent="0.25">
      <c r="A47" s="66"/>
      <c r="B47" s="66"/>
      <c r="C47" s="66"/>
      <c r="D47" s="66"/>
      <c r="E47" s="66"/>
    </row>
    <row r="48" spans="1:5" ht="15" x14ac:dyDescent="0.25">
      <c r="A48" s="66"/>
      <c r="B48" s="66"/>
      <c r="C48" s="66"/>
      <c r="D48" s="66"/>
      <c r="E48" s="66"/>
    </row>
    <row r="49" spans="1:5" ht="15" x14ac:dyDescent="0.25">
      <c r="A49" s="66"/>
      <c r="B49" s="66"/>
      <c r="C49" s="66"/>
      <c r="D49" s="66"/>
      <c r="E49" s="66"/>
    </row>
    <row r="50" spans="1:5" ht="15" x14ac:dyDescent="0.25">
      <c r="A50" s="66"/>
      <c r="B50" s="66"/>
      <c r="C50" s="66"/>
      <c r="D50" s="66"/>
      <c r="E50" s="66"/>
    </row>
    <row r="51" spans="1:5" ht="15" x14ac:dyDescent="0.25">
      <c r="A51" s="66"/>
      <c r="B51" s="66"/>
      <c r="C51" s="66"/>
      <c r="D51" s="66"/>
      <c r="E51" s="66"/>
    </row>
    <row r="52" spans="1:5" ht="15" x14ac:dyDescent="0.25">
      <c r="A52" s="66"/>
      <c r="B52" s="66"/>
      <c r="C52" s="66"/>
      <c r="D52" s="66"/>
      <c r="E52" s="66"/>
    </row>
    <row r="53" spans="1:5" ht="15" x14ac:dyDescent="0.25">
      <c r="A53" s="66"/>
      <c r="B53" s="66"/>
      <c r="C53" s="66"/>
      <c r="D53" s="66"/>
      <c r="E53" s="66"/>
    </row>
    <row r="54" spans="1:5" ht="15" x14ac:dyDescent="0.25">
      <c r="A54" s="66"/>
      <c r="B54" s="66"/>
      <c r="C54" s="66"/>
      <c r="D54" s="66"/>
      <c r="E54" s="66"/>
    </row>
    <row r="55" spans="1:5" ht="15" x14ac:dyDescent="0.25">
      <c r="A55" s="66"/>
      <c r="B55" s="66"/>
      <c r="C55" s="66"/>
      <c r="D55" s="66"/>
      <c r="E55" s="66"/>
    </row>
    <row r="56" spans="1:5" ht="15" x14ac:dyDescent="0.25">
      <c r="A56" s="66"/>
      <c r="B56" s="66"/>
      <c r="C56" s="66"/>
      <c r="D56" s="66"/>
      <c r="E56" s="66"/>
    </row>
    <row r="57" spans="1:5" ht="15" x14ac:dyDescent="0.25">
      <c r="A57" s="66"/>
      <c r="B57" s="66"/>
      <c r="C57" s="66"/>
      <c r="D57" s="66"/>
      <c r="E57" s="66"/>
    </row>
    <row r="58" spans="1:5" ht="15" x14ac:dyDescent="0.25">
      <c r="A58" s="66"/>
      <c r="B58" s="66"/>
      <c r="C58" s="66"/>
      <c r="D58" s="66"/>
      <c r="E58" s="66"/>
    </row>
    <row r="59" spans="1:5" ht="15" x14ac:dyDescent="0.25">
      <c r="A59" s="66"/>
      <c r="B59" s="66"/>
      <c r="C59" s="66"/>
      <c r="D59" s="66"/>
      <c r="E59" s="66"/>
    </row>
    <row r="60" spans="1:5" ht="15" x14ac:dyDescent="0.25">
      <c r="A60" s="66"/>
      <c r="B60" s="66"/>
      <c r="C60" s="66"/>
      <c r="D60" s="66"/>
      <c r="E60" s="66"/>
    </row>
    <row r="61" spans="1:5" ht="15" x14ac:dyDescent="0.25">
      <c r="A61" s="66"/>
      <c r="B61" s="66"/>
      <c r="C61" s="66"/>
      <c r="D61" s="66"/>
      <c r="E61" s="66"/>
    </row>
    <row r="62" spans="1:5" ht="15" x14ac:dyDescent="0.25">
      <c r="A62" s="66"/>
      <c r="B62" s="66"/>
      <c r="C62" s="66"/>
      <c r="D62" s="66"/>
      <c r="E62" s="66"/>
    </row>
    <row r="63" spans="1:5" ht="15" x14ac:dyDescent="0.25">
      <c r="A63" s="66"/>
      <c r="B63" s="66"/>
      <c r="C63" s="66"/>
      <c r="D63" s="66"/>
      <c r="E63" s="66"/>
    </row>
    <row r="64" spans="1:5" ht="15" x14ac:dyDescent="0.25">
      <c r="A64" s="66"/>
      <c r="B64" s="66"/>
      <c r="C64" s="66"/>
      <c r="D64" s="66"/>
      <c r="E64" s="66"/>
    </row>
    <row r="65" spans="1:5" ht="15" x14ac:dyDescent="0.25">
      <c r="A65" s="66"/>
      <c r="B65" s="66"/>
      <c r="C65" s="66"/>
      <c r="D65" s="66"/>
      <c r="E65" s="66"/>
    </row>
    <row r="66" spans="1:5" ht="15" x14ac:dyDescent="0.25">
      <c r="A66" s="66"/>
      <c r="B66" s="66"/>
      <c r="C66" s="66"/>
      <c r="D66" s="66"/>
      <c r="E66" s="66"/>
    </row>
    <row r="67" spans="1:5" ht="15" x14ac:dyDescent="0.25">
      <c r="A67" s="66"/>
      <c r="B67" s="66"/>
      <c r="C67" s="66"/>
      <c r="D67" s="66"/>
      <c r="E67" s="66"/>
    </row>
    <row r="68" spans="1:5" ht="15" x14ac:dyDescent="0.25">
      <c r="A68" s="66"/>
      <c r="B68" s="66"/>
      <c r="C68" s="66"/>
      <c r="D68" s="66"/>
      <c r="E68" s="66"/>
    </row>
    <row r="69" spans="1:5" ht="15" x14ac:dyDescent="0.25">
      <c r="A69" s="66"/>
      <c r="B69" s="66"/>
      <c r="C69" s="66"/>
      <c r="D69" s="66"/>
      <c r="E69" s="66"/>
    </row>
  </sheetData>
  <pageMargins left="0.7" right="0.7" top="0.75" bottom="0.75" header="0.3" footer="0.3"/>
  <pageSetup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68BC-8D13-4765-A9AB-F3E2C602D63D}">
  <sheetPr codeName="Sheet15"/>
  <dimension ref="A1:H25"/>
  <sheetViews>
    <sheetView workbookViewId="0">
      <selection activeCell="H21" sqref="H21"/>
    </sheetView>
  </sheetViews>
  <sheetFormatPr defaultColWidth="8.7109375" defaultRowHeight="12.75" x14ac:dyDescent="0.2"/>
  <cols>
    <col min="1" max="1" width="35.140625" style="1" bestFit="1" customWidth="1"/>
    <col min="2" max="2" width="12.140625" style="1" bestFit="1" customWidth="1"/>
    <col min="3" max="3" width="12.5703125" style="1" bestFit="1" customWidth="1"/>
    <col min="4" max="16384" width="8.7109375" style="1"/>
  </cols>
  <sheetData>
    <row r="1" spans="1:8" ht="15" x14ac:dyDescent="0.25">
      <c r="A1" s="61" t="s">
        <v>69</v>
      </c>
      <c r="B1" s="62"/>
      <c r="C1" s="63">
        <f>SUM(B2:B3)</f>
        <v>11000</v>
      </c>
    </row>
    <row r="2" spans="1:8" x14ac:dyDescent="0.2">
      <c r="A2" s="64" t="s">
        <v>70</v>
      </c>
      <c r="B2" s="62">
        <f>5000+3000</f>
        <v>8000</v>
      </c>
      <c r="C2" s="62"/>
    </row>
    <row r="3" spans="1:8" x14ac:dyDescent="0.2">
      <c r="A3" s="64" t="s">
        <v>71</v>
      </c>
      <c r="B3" s="62">
        <v>3000</v>
      </c>
      <c r="C3" s="62"/>
      <c r="H3" s="1" t="s">
        <v>362</v>
      </c>
    </row>
    <row r="4" spans="1:8" ht="15" x14ac:dyDescent="0.25">
      <c r="A4" s="65" t="s">
        <v>72</v>
      </c>
      <c r="B4" s="62"/>
      <c r="C4" s="63">
        <f>SUM(B5:B9)</f>
        <v>137500</v>
      </c>
    </row>
    <row r="5" spans="1:8" ht="15" x14ac:dyDescent="0.25">
      <c r="A5" s="66" t="s">
        <v>73</v>
      </c>
      <c r="B5" s="62">
        <v>7500</v>
      </c>
      <c r="C5" s="62"/>
    </row>
    <row r="6" spans="1:8" x14ac:dyDescent="0.2">
      <c r="A6" s="64" t="s">
        <v>74</v>
      </c>
      <c r="B6" s="62">
        <v>15000</v>
      </c>
      <c r="C6" s="62"/>
    </row>
    <row r="7" spans="1:8" x14ac:dyDescent="0.2">
      <c r="A7" s="64" t="s">
        <v>75</v>
      </c>
      <c r="B7" s="62">
        <v>30000</v>
      </c>
      <c r="C7" s="62"/>
    </row>
    <row r="8" spans="1:8" x14ac:dyDescent="0.2">
      <c r="A8" s="64" t="s">
        <v>76</v>
      </c>
      <c r="B8" s="62">
        <v>75000</v>
      </c>
      <c r="C8" s="62"/>
    </row>
    <row r="9" spans="1:8" x14ac:dyDescent="0.2">
      <c r="A9" s="64" t="s">
        <v>77</v>
      </c>
      <c r="B9" s="62">
        <v>10000</v>
      </c>
      <c r="C9" s="62"/>
    </row>
    <row r="10" spans="1:8" ht="15" x14ac:dyDescent="0.25">
      <c r="A10" s="65" t="s">
        <v>78</v>
      </c>
      <c r="B10" s="62"/>
      <c r="C10" s="63">
        <f>SUM(B11:B18)</f>
        <v>317000</v>
      </c>
    </row>
    <row r="11" spans="1:8" x14ac:dyDescent="0.2">
      <c r="A11" s="64" t="s">
        <v>79</v>
      </c>
      <c r="B11" s="62">
        <v>10000</v>
      </c>
      <c r="C11" s="62"/>
    </row>
    <row r="12" spans="1:8" x14ac:dyDescent="0.2">
      <c r="A12" s="64" t="s">
        <v>80</v>
      </c>
      <c r="B12" s="62">
        <v>12000</v>
      </c>
      <c r="C12" s="62"/>
    </row>
    <row r="13" spans="1:8" ht="15" x14ac:dyDescent="0.25">
      <c r="A13" s="67" t="s">
        <v>81</v>
      </c>
      <c r="B13" s="62"/>
      <c r="C13" s="62"/>
    </row>
    <row r="14" spans="1:8" x14ac:dyDescent="0.2">
      <c r="A14" s="64" t="s">
        <v>82</v>
      </c>
      <c r="B14" s="62">
        <v>150000</v>
      </c>
      <c r="C14" s="62"/>
    </row>
    <row r="15" spans="1:8" x14ac:dyDescent="0.2">
      <c r="A15" s="64" t="s">
        <v>83</v>
      </c>
      <c r="B15" s="62">
        <v>30000</v>
      </c>
      <c r="C15" s="62"/>
    </row>
    <row r="16" spans="1:8" ht="15" x14ac:dyDescent="0.25">
      <c r="A16" s="67" t="s">
        <v>84</v>
      </c>
      <c r="B16" s="62"/>
      <c r="C16" s="62"/>
    </row>
    <row r="17" spans="1:3" x14ac:dyDescent="0.2">
      <c r="A17" s="64" t="s">
        <v>85</v>
      </c>
      <c r="B17" s="62">
        <v>80000</v>
      </c>
      <c r="C17" s="62"/>
    </row>
    <row r="18" spans="1:3" x14ac:dyDescent="0.2">
      <c r="A18" s="64" t="s">
        <v>86</v>
      </c>
      <c r="B18" s="62">
        <v>35000</v>
      </c>
      <c r="C18" s="62"/>
    </row>
    <row r="19" spans="1:3" ht="15" x14ac:dyDescent="0.25">
      <c r="A19" s="65" t="s">
        <v>87</v>
      </c>
      <c r="B19" s="62"/>
      <c r="C19" s="63">
        <f>SUM(B20:B21)</f>
        <v>297500</v>
      </c>
    </row>
    <row r="20" spans="1:3" x14ac:dyDescent="0.2">
      <c r="A20" s="64" t="s">
        <v>81</v>
      </c>
      <c r="B20" s="62">
        <v>260000</v>
      </c>
      <c r="C20" s="62"/>
    </row>
    <row r="21" spans="1:3" x14ac:dyDescent="0.2">
      <c r="A21" s="64" t="s">
        <v>88</v>
      </c>
      <c r="B21" s="62">
        <v>37500</v>
      </c>
      <c r="C21" s="62"/>
    </row>
    <row r="22" spans="1:3" x14ac:dyDescent="0.2">
      <c r="A22" s="64" t="s">
        <v>86</v>
      </c>
      <c r="B22" s="62"/>
      <c r="C22" s="62"/>
    </row>
    <row r="23" spans="1:3" ht="15" x14ac:dyDescent="0.25">
      <c r="A23" s="61" t="s">
        <v>89</v>
      </c>
      <c r="B23" s="62">
        <v>37500</v>
      </c>
      <c r="C23" s="68">
        <f>B23</f>
        <v>37500</v>
      </c>
    </row>
    <row r="24" spans="1:3" ht="15" x14ac:dyDescent="0.25">
      <c r="A24" s="61" t="s">
        <v>90</v>
      </c>
      <c r="B24" s="69">
        <v>437500</v>
      </c>
      <c r="C24" s="63">
        <f>B24</f>
        <v>437500</v>
      </c>
    </row>
    <row r="25" spans="1:3" x14ac:dyDescent="0.2">
      <c r="B25" s="58"/>
      <c r="C25" s="58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Capital Budgeting</vt:lpstr>
      <vt:lpstr>+3.4% Required Return</vt:lpstr>
      <vt:lpstr>-9% Unit Sales</vt:lpstr>
      <vt:lpstr>+9% Unit Sales</vt:lpstr>
      <vt:lpstr>+30% Fixed Cost</vt:lpstr>
      <vt:lpstr>+5% Variable Costs</vt:lpstr>
      <vt:lpstr>-3% Price</vt:lpstr>
      <vt:lpstr>Computations</vt:lpstr>
      <vt:lpstr>WACC</vt:lpstr>
      <vt:lpstr>Sales Forecast</vt:lpstr>
      <vt:lpstr>Salaries</vt:lpstr>
      <vt:lpstr>Benefits</vt:lpstr>
      <vt:lpstr>Promotional Plan</vt:lpstr>
      <vt:lpstr>Insource</vt:lpstr>
      <vt:lpstr>Outsource</vt:lpstr>
      <vt:lpstr>Depreciation_Computers</vt:lpstr>
      <vt:lpstr>EmployeesAmount</vt:lpstr>
      <vt:lpstr>FixedCosts_Total</vt:lpstr>
      <vt:lpstr>NWC_Year0</vt:lpstr>
      <vt:lpstr>'+3.4% Required Return'!Print_Area</vt:lpstr>
      <vt:lpstr>'+30% Fixed Cost'!Print_Area</vt:lpstr>
      <vt:lpstr>'Capital Budgeting'!Print_Area</vt:lpstr>
      <vt:lpstr>Salaries_AmountListings</vt:lpstr>
      <vt:lpstr>Total_CostofComputers</vt:lpstr>
    </vt:vector>
  </TitlesOfParts>
  <Manager/>
  <Company>University of Tampa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 Etling</dc:creator>
  <cp:keywords/>
  <dc:description/>
  <cp:lastModifiedBy>Christian Sickmeier</cp:lastModifiedBy>
  <cp:revision/>
  <cp:lastPrinted>2023-12-11T17:54:20Z</cp:lastPrinted>
  <dcterms:created xsi:type="dcterms:W3CDTF">2000-09-17T16:31:43Z</dcterms:created>
  <dcterms:modified xsi:type="dcterms:W3CDTF">2023-12-14T03:57:40Z</dcterms:modified>
  <cp:category/>
  <cp:contentStatus/>
</cp:coreProperties>
</file>